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0B2D72-A64A-4989-B6C6-A83070DCA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mpiran I" sheetId="1" r:id="rId1"/>
  </sheets>
  <definedNames>
    <definedName name="_xlnm._FilterDatabase" localSheetId="0" hidden="1">'Lampiran I'!$A$13:$Y$13</definedName>
    <definedName name="_xlnm.Print_Area" localSheetId="0">'Lampiran I'!$A$1:$Y$51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AA37" i="1" l="1"/>
  <c r="AA36" i="1"/>
  <c r="AC36" i="1" l="1"/>
  <c r="T30" i="1" l="1"/>
  <c r="Q30" i="1"/>
  <c r="N30" i="1"/>
  <c r="K30" i="1"/>
  <c r="D30" i="1"/>
  <c r="D36" i="1" s="1"/>
  <c r="G30" i="1"/>
  <c r="J30" i="1" l="1"/>
  <c r="D38" i="1"/>
  <c r="G58" i="1"/>
  <c r="O15" i="1"/>
  <c r="P15" i="1" s="1"/>
  <c r="O19" i="1"/>
  <c r="P19" i="1" s="1"/>
  <c r="O23" i="1"/>
  <c r="P23" i="1" s="1"/>
  <c r="O27" i="1"/>
  <c r="P27" i="1" s="1"/>
  <c r="O16" i="1"/>
  <c r="P16" i="1" s="1"/>
  <c r="O20" i="1"/>
  <c r="P20" i="1" s="1"/>
  <c r="O24" i="1"/>
  <c r="P24" i="1" s="1"/>
  <c r="O28" i="1"/>
  <c r="P28" i="1" s="1"/>
  <c r="O17" i="1"/>
  <c r="P17" i="1" s="1"/>
  <c r="O25" i="1"/>
  <c r="P25" i="1" s="1"/>
  <c r="O14" i="1"/>
  <c r="P14" i="1" s="1"/>
  <c r="O22" i="1"/>
  <c r="P22" i="1" s="1"/>
  <c r="O21" i="1"/>
  <c r="P21" i="1" s="1"/>
  <c r="O26" i="1"/>
  <c r="P26" i="1" s="1"/>
  <c r="O29" i="1"/>
  <c r="P29" i="1" s="1"/>
  <c r="O18" i="1"/>
  <c r="P18" i="1" s="1"/>
  <c r="R17" i="1"/>
  <c r="S17" i="1" s="1"/>
  <c r="R21" i="1"/>
  <c r="S21" i="1" s="1"/>
  <c r="R25" i="1"/>
  <c r="S25" i="1" s="1"/>
  <c r="R29" i="1"/>
  <c r="S29" i="1" s="1"/>
  <c r="R14" i="1"/>
  <c r="S14" i="1" s="1"/>
  <c r="R18" i="1"/>
  <c r="S18" i="1" s="1"/>
  <c r="R22" i="1"/>
  <c r="S22" i="1" s="1"/>
  <c r="R26" i="1"/>
  <c r="S26" i="1" s="1"/>
  <c r="R15" i="1"/>
  <c r="S15" i="1" s="1"/>
  <c r="R23" i="1"/>
  <c r="S23" i="1" s="1"/>
  <c r="R16" i="1"/>
  <c r="S16" i="1" s="1"/>
  <c r="R24" i="1"/>
  <c r="S24" i="1" s="1"/>
  <c r="R19" i="1"/>
  <c r="S19" i="1" s="1"/>
  <c r="R28" i="1"/>
  <c r="S28" i="1" s="1"/>
  <c r="R20" i="1"/>
  <c r="S20" i="1" s="1"/>
  <c r="R27" i="1"/>
  <c r="S27" i="1" s="1"/>
  <c r="L16" i="1"/>
  <c r="M16" i="1" s="1"/>
  <c r="L20" i="1"/>
  <c r="M20" i="1" s="1"/>
  <c r="L24" i="1"/>
  <c r="M24" i="1" s="1"/>
  <c r="L28" i="1"/>
  <c r="M28" i="1" s="1"/>
  <c r="L14" i="1"/>
  <c r="M14" i="1" s="1"/>
  <c r="L19" i="1"/>
  <c r="M19" i="1" s="1"/>
  <c r="L25" i="1"/>
  <c r="M25" i="1" s="1"/>
  <c r="L18" i="1"/>
  <c r="M18" i="1" s="1"/>
  <c r="L23" i="1"/>
  <c r="M23" i="1" s="1"/>
  <c r="L29" i="1"/>
  <c r="M29" i="1" s="1"/>
  <c r="L17" i="1"/>
  <c r="M17" i="1" s="1"/>
  <c r="L27" i="1"/>
  <c r="M27" i="1" s="1"/>
  <c r="L21" i="1"/>
  <c r="M21" i="1" s="1"/>
  <c r="L22" i="1"/>
  <c r="M22" i="1" s="1"/>
  <c r="L15" i="1"/>
  <c r="M15" i="1" s="1"/>
  <c r="L26" i="1"/>
  <c r="M26" i="1" s="1"/>
  <c r="U15" i="1"/>
  <c r="V15" i="1" s="1"/>
  <c r="U19" i="1"/>
  <c r="V19" i="1" s="1"/>
  <c r="U23" i="1"/>
  <c r="V23" i="1" s="1"/>
  <c r="U27" i="1"/>
  <c r="V27" i="1" s="1"/>
  <c r="U14" i="1"/>
  <c r="V14" i="1" s="1"/>
  <c r="U18" i="1"/>
  <c r="V18" i="1" s="1"/>
  <c r="U22" i="1"/>
  <c r="V22" i="1" s="1"/>
  <c r="U26" i="1"/>
  <c r="V26" i="1" s="1"/>
  <c r="U16" i="1"/>
  <c r="V16" i="1" s="1"/>
  <c r="U24" i="1"/>
  <c r="V24" i="1" s="1"/>
  <c r="U17" i="1"/>
  <c r="V17" i="1" s="1"/>
  <c r="U25" i="1"/>
  <c r="V25" i="1" s="1"/>
  <c r="U28" i="1"/>
  <c r="V28" i="1" s="1"/>
  <c r="U29" i="1"/>
  <c r="V29" i="1" s="1"/>
  <c r="U21" i="1"/>
  <c r="V21" i="1" s="1"/>
  <c r="U20" i="1"/>
  <c r="V20" i="1" s="1"/>
  <c r="U30" i="1" l="1"/>
  <c r="W18" i="1"/>
  <c r="X18" i="1" s="1"/>
  <c r="Y18" i="1" s="1"/>
  <c r="L30" i="1"/>
  <c r="V30" i="1"/>
  <c r="W15" i="1"/>
  <c r="X15" i="1" s="1"/>
  <c r="Y15" i="1" s="1"/>
  <c r="W17" i="1"/>
  <c r="X17" i="1" s="1"/>
  <c r="Y17" i="1" s="1"/>
  <c r="W25" i="1"/>
  <c r="X25" i="1" s="1"/>
  <c r="Y25" i="1" s="1"/>
  <c r="P30" i="1"/>
  <c r="W26" i="1"/>
  <c r="X26" i="1" s="1"/>
  <c r="Y26" i="1" s="1"/>
  <c r="W23" i="1"/>
  <c r="X23" i="1" s="1"/>
  <c r="Y23" i="1" s="1"/>
  <c r="W14" i="1"/>
  <c r="X14" i="1" s="1"/>
  <c r="Y14" i="1" s="1"/>
  <c r="W20" i="1"/>
  <c r="X20" i="1" s="1"/>
  <c r="Y20" i="1" s="1"/>
  <c r="O30" i="1"/>
  <c r="W22" i="1"/>
  <c r="X22" i="1" s="1"/>
  <c r="Y22" i="1" s="1"/>
  <c r="W27" i="1"/>
  <c r="X27" i="1" s="1"/>
  <c r="Y27" i="1" s="1"/>
  <c r="W16" i="1"/>
  <c r="X16" i="1" s="1"/>
  <c r="Y16" i="1" s="1"/>
  <c r="R30" i="1"/>
  <c r="W28" i="1"/>
  <c r="X28" i="1" s="1"/>
  <c r="Y28" i="1" s="1"/>
  <c r="S30" i="1"/>
  <c r="W21" i="1"/>
  <c r="X21" i="1" s="1"/>
  <c r="Y21" i="1" s="1"/>
  <c r="W29" i="1"/>
  <c r="X29" i="1" s="1"/>
  <c r="Y29" i="1" s="1"/>
  <c r="W19" i="1"/>
  <c r="X19" i="1" s="1"/>
  <c r="Y19" i="1" s="1"/>
  <c r="W24" i="1"/>
  <c r="X24" i="1" s="1"/>
  <c r="Y24" i="1" s="1"/>
  <c r="M30" i="1"/>
  <c r="D40" i="1"/>
  <c r="W30" i="1" l="1"/>
  <c r="X30" i="1" l="1"/>
  <c r="D42" i="1" s="1"/>
  <c r="AC37" i="1" s="1"/>
  <c r="AC38" i="1" s="1"/>
  <c r="AB32" i="1"/>
  <c r="AC32" i="1" s="1"/>
  <c r="AB33" i="1"/>
  <c r="AC33" i="1" s="1"/>
  <c r="Y30" i="1" l="1"/>
  <c r="D34" i="1" s="1"/>
  <c r="AE33" i="1"/>
  <c r="AD33" i="1"/>
  <c r="AE32" i="1"/>
  <c r="A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DELL-34</author>
  </authors>
  <commentList>
    <comment ref="D33" authorId="0" shapeId="0" xr:uid="{00000000-0006-0000-0000-000001000000}">
      <text>
        <r>
          <rPr>
            <sz val="9"/>
            <color indexed="81"/>
            <rFont val="Tahoma"/>
            <family val="2"/>
          </rPr>
          <t>diisi dengan Pagu Dana Desa Kab/Kota sesuai Perpres Rincian APBN</t>
        </r>
      </text>
    </comment>
    <comment ref="D35" authorId="0" shapeId="0" xr:uid="{00000000-0006-0000-0000-000002000000}">
      <text>
        <r>
          <rPr>
            <sz val="9"/>
            <color indexed="81"/>
            <rFont val="Tahoma"/>
            <family val="2"/>
          </rPr>
          <t>diisi dengan Pagu Alokasi Dasar Kab/Kota sesuai Perpres Rincian APBN</t>
        </r>
      </text>
    </comment>
    <comment ref="AC36" authorId="0" shapeId="0" xr:uid="{00000000-0006-0000-0000-000003000000}">
      <text>
        <r>
          <rPr>
            <sz val="9"/>
            <color indexed="81"/>
            <rFont val="Tahoma"/>
            <family val="2"/>
          </rPr>
          <t>diisi dengan Pagu Alokasi Formula Kab/Kota sesuai Perpres Rincian APBN</t>
        </r>
      </text>
    </comment>
    <comment ref="D37" authorId="0" shapeId="0" xr:uid="{00000000-0006-0000-0000-000004000000}">
      <text>
        <r>
          <rPr>
            <sz val="9"/>
            <color indexed="81"/>
            <rFont val="Tahoma"/>
            <family val="2"/>
          </rPr>
          <t>diisi dengan Pagu Alokasi Afirmasi Kab/Kota sesuai Perpres Rincian APBN</t>
        </r>
      </text>
    </comment>
    <comment ref="D39" authorId="0" shapeId="0" xr:uid="{00000000-0006-0000-0000-000005000000}">
      <text>
        <r>
          <rPr>
            <sz val="9"/>
            <color indexed="81"/>
            <rFont val="Tahoma"/>
            <family val="2"/>
          </rPr>
          <t>diisi dengan Pagu Alokasi Kinerja Kab/Kota sesuai Perpres Rincian APBN</t>
        </r>
      </text>
    </comment>
    <comment ref="D41" authorId="0" shapeId="0" xr:uid="{00000000-0006-0000-0000-000006000000}">
      <text>
        <r>
          <rPr>
            <sz val="9"/>
            <color indexed="81"/>
            <rFont val="Tahoma"/>
            <family val="2"/>
          </rPr>
          <t>diisi dengan Pagu Alokasi Formula Kab/Kota sesuai Perpres Rincian APBN</t>
        </r>
      </text>
    </comment>
  </commentList>
</comments>
</file>

<file path=xl/sharedStrings.xml><?xml version="1.0" encoding="utf-8"?>
<sst xmlns="http://schemas.openxmlformats.org/spreadsheetml/2006/main" count="160" uniqueCount="115">
  <si>
    <t>(ribu rupiah)</t>
  </si>
  <si>
    <t>No.</t>
  </si>
  <si>
    <t>Kecamatan</t>
  </si>
  <si>
    <t>Nama Desa</t>
  </si>
  <si>
    <t>Alokasi Dasar</t>
  </si>
  <si>
    <t>Klasifikasi Desa IDM</t>
  </si>
  <si>
    <t>Desil JPM</t>
  </si>
  <si>
    <t>Alokasi Afirmasi</t>
  </si>
  <si>
    <t>Alokasi Kinerja</t>
  </si>
  <si>
    <t>Alokasi Formula</t>
  </si>
  <si>
    <t>Pagu Dana Desa per-Desa</t>
  </si>
  <si>
    <t>Jumlah Penduduk</t>
  </si>
  <si>
    <t>Jumlah Penduduk Miskin</t>
  </si>
  <si>
    <t>Luas Wilayah</t>
  </si>
  <si>
    <t>IKG</t>
  </si>
  <si>
    <t>Total Bobot</t>
  </si>
  <si>
    <t>Rasio Jumlah Penduduk</t>
  </si>
  <si>
    <t>Bobot</t>
  </si>
  <si>
    <t>Rasio Jumlah Penduduk Miskin</t>
  </si>
  <si>
    <t>Rasio Luas Wilayah</t>
  </si>
  <si>
    <t>Indeks Kesulitan Geografis</t>
  </si>
  <si>
    <t>Rasio Indeks Kesulitan Geografis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</si>
  <si>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</si>
  <si>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</si>
  <si>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</si>
  <si>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</si>
  <si>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</si>
  <si>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</si>
  <si>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</si>
  <si>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</si>
  <si>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</si>
  <si>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</si>
  <si>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</si>
  <si>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</si>
  <si>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</si>
  <si>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</si>
  <si>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</si>
  <si>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</si>
  <si>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</si>
  <si>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</si>
  <si>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</si>
  <si>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</si>
  <si>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</si>
  <si>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</si>
  <si>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 = (13) + (16) + (19) + (23)</t>
  </si>
  <si>
    <t>(24)</t>
  </si>
  <si>
    <t>(25)= (4) + (7) + (10) + (23)</t>
  </si>
  <si>
    <t>Total</t>
  </si>
  <si>
    <t>nilai</t>
  </si>
  <si>
    <t>baris</t>
  </si>
  <si>
    <t>Kontrol Penghitungan</t>
  </si>
  <si>
    <t>Alokasi  Per Desa</t>
  </si>
  <si>
    <t>JP</t>
  </si>
  <si>
    <t>Alokasi Dasar Per Desa</t>
  </si>
  <si>
    <t>JPM</t>
  </si>
  <si>
    <t>Alokasi Afirmasi DT</t>
  </si>
  <si>
    <t>LW</t>
  </si>
  <si>
    <t>Alokasi Afirmasi DST</t>
  </si>
  <si>
    <t>Selisih Alokasi Formula</t>
  </si>
  <si>
    <t>Alokasi Kinerja Per Desa</t>
  </si>
  <si>
    <t>Tempat Kedudukan, DD/MM/YYYY</t>
  </si>
  <si>
    <t>Jumlah Desa</t>
  </si>
  <si>
    <t>Mengetahui,</t>
  </si>
  <si>
    <t>Jumlah Desa Penerima AK</t>
  </si>
  <si>
    <t>Pejabat SKPKD (n)</t>
  </si>
  <si>
    <r>
      <t xml:space="preserve">Pejabat di Bidang Pemberdayaan Masyarakat Desa </t>
    </r>
    <r>
      <rPr>
        <i/>
        <sz val="11"/>
        <color theme="1"/>
        <rFont val="Calibri"/>
        <family val="2"/>
        <scheme val="minor"/>
      </rPr>
      <t>(0)</t>
    </r>
  </si>
  <si>
    <r>
      <t xml:space="preserve">Petugas Penghitung Dana Desa </t>
    </r>
    <r>
      <rPr>
        <i/>
        <sz val="11"/>
        <color theme="1"/>
        <rFont val="Calibri"/>
        <family val="2"/>
        <scheme val="minor"/>
      </rPr>
      <t>(p)</t>
    </r>
  </si>
  <si>
    <t>(eselon II)</t>
  </si>
  <si>
    <t>(eselon III)</t>
  </si>
  <si>
    <t>Nama Jelas</t>
  </si>
  <si>
    <t>NIP</t>
  </si>
  <si>
    <t>Pagu Dana Desa Kab./Kota .........</t>
  </si>
  <si>
    <t>Hasil Perhitungan Pagu Dana Desa Kab./Kota .........</t>
  </si>
  <si>
    <t>Pagu Alokasi Dasar Kab./Kota .........</t>
  </si>
  <si>
    <t>Hasil Hitung Alokasi Dasar Kab./Kota .........</t>
  </si>
  <si>
    <t>Pagu Alokasi Formula Kab./Kota .........</t>
  </si>
  <si>
    <t>Pagu Alokasi Afirmasi Kab./Kota .........</t>
  </si>
  <si>
    <t>Hasil Hitung Alokasi Formula Kab./Kota .........</t>
  </si>
  <si>
    <t>Hasil Hitung Alokasi AfirmasiKab./Kota .........</t>
  </si>
  <si>
    <t>Pagu Alokasi Kinerja Kab./Kota .........</t>
  </si>
  <si>
    <t>Hasil Hitung Alokasi Kinerja Kab./Kota .........</t>
  </si>
  <si>
    <t>Terbesar</t>
  </si>
  <si>
    <t>Terkecil</t>
  </si>
  <si>
    <t>Skor Kinerja</t>
  </si>
  <si>
    <t>Ranking Kinerja</t>
  </si>
  <si>
    <t>Karangrejo</t>
  </si>
  <si>
    <t>Sidomulyo</t>
  </si>
  <si>
    <t>Dempet</t>
  </si>
  <si>
    <t>Merak</t>
  </si>
  <si>
    <t>Botosengon</t>
  </si>
  <si>
    <t>Jerukgulung</t>
  </si>
  <si>
    <t>Kunir</t>
  </si>
  <si>
    <t>Brakas</t>
  </si>
  <si>
    <t>Balerejo</t>
  </si>
  <si>
    <t>Baleromo</t>
  </si>
  <si>
    <t>Kedungori</t>
  </si>
  <si>
    <t>Kuwu</t>
  </si>
  <si>
    <t>Kebonsari</t>
  </si>
  <si>
    <t>Gempoldenok</t>
  </si>
  <si>
    <t>Harjowinangun</t>
  </si>
  <si>
    <t>Kramat</t>
  </si>
  <si>
    <t>Berkembang</t>
  </si>
  <si>
    <t>Tertinggal</t>
  </si>
  <si>
    <t>Maju</t>
  </si>
  <si>
    <t>Mandiri</t>
  </si>
  <si>
    <t>PERATURAN BUPATI DEMAK</t>
  </si>
  <si>
    <t>TENTANG</t>
  </si>
  <si>
    <t>RINCIAN DANA DESA UNTUK SETIAP DESA DI KABUPATEN DEMAK TAHUN 2020</t>
  </si>
  <si>
    <t>BUPATI DEMAK</t>
  </si>
  <si>
    <t>HM. NATSIR</t>
  </si>
  <si>
    <t>LAMPIRAN I PERUBAHAN</t>
  </si>
  <si>
    <t>NOMOR                   TAHUN 2020</t>
  </si>
  <si>
    <t>PERUBAHAN PERATURAN BUPATI NOMOR 5 TAHUN</t>
  </si>
  <si>
    <t>RINCIAN DAN PENGGUNAAN DANA DESA TAHUN 2020</t>
  </si>
  <si>
    <t>2020 TENTANG TATA CARA PEMBAGIAN PENETAPAN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</si>
</sst>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(* #,##0.000_);_(* \(#,##0.000\);_(* &quot;-&quot;??_);_(@_)"/>
    <numFmt numFmtId="166" formatCode="_(* #,##0_);_(* \(#,##0\);_(* &quot;-&quot;??_);_(@_)"/>
    <numFmt numFmtId="167" formatCode="_(* #,##0.00_);_(* \(#,##0.00\);_(* &quot;-&quot;_);_(@_)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 applyBorder="1" applyAlignment="1">
      <alignment horizontal="center"/>
    </xf>
    <xf numFmtId="41" fontId="0" fillId="0" borderId="0" xfId="1" applyFont="1"/>
    <xf numFmtId="0" fontId="8" fillId="0" borderId="0" xfId="0" quotePrefix="1" applyFont="1" applyAlignment="1">
      <alignment horizontal="left"/>
    </xf>
    <xf numFmtId="9" fontId="0" fillId="0" borderId="0" xfId="2" quotePrefix="1" applyFont="1" applyBorder="1"/>
    <xf numFmtId="0" fontId="0" fillId="3" borderId="0" xfId="0" applyFill="1"/>
    <xf numFmtId="9" fontId="0" fillId="0" borderId="0" xfId="2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7" fontId="0" fillId="0" borderId="0" xfId="0" applyNumberFormat="1" applyBorder="1"/>
    <xf numFmtId="41" fontId="0" fillId="0" borderId="0" xfId="1" applyFont="1" applyBorder="1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41" fontId="0" fillId="0" borderId="0" xfId="1" applyFont="1" applyBorder="1"/>
    <xf numFmtId="41" fontId="2" fillId="0" borderId="0" xfId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/>
    <xf numFmtId="0" fontId="0" fillId="3" borderId="1" xfId="0" applyFill="1" applyBorder="1"/>
    <xf numFmtId="41" fontId="0" fillId="3" borderId="1" xfId="1" applyFont="1" applyFill="1" applyBorder="1"/>
    <xf numFmtId="9" fontId="0" fillId="4" borderId="1" xfId="2" applyFont="1" applyFill="1" applyBorder="1"/>
    <xf numFmtId="9" fontId="0" fillId="5" borderId="1" xfId="2" applyFont="1" applyFill="1" applyBorder="1"/>
    <xf numFmtId="41" fontId="0" fillId="5" borderId="1" xfId="1" applyFont="1" applyFill="1" applyBorder="1"/>
    <xf numFmtId="0" fontId="2" fillId="6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1" xfId="0" applyFill="1" applyBorder="1"/>
    <xf numFmtId="41" fontId="0" fillId="0" borderId="1" xfId="1" applyFont="1" applyFill="1" applyBorder="1"/>
    <xf numFmtId="0" fontId="0" fillId="0" borderId="1" xfId="0" applyNumberFormat="1" applyFill="1" applyBorder="1"/>
    <xf numFmtId="0" fontId="11" fillId="0" borderId="0" xfId="0" applyFont="1" applyBorder="1" applyAlignment="1">
      <alignment horizontal="center" vertical="center"/>
    </xf>
    <xf numFmtId="166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8" fontId="2" fillId="0" borderId="1" xfId="2" applyNumberFormat="1" applyFont="1" applyFill="1" applyBorder="1" applyAlignment="1">
      <alignment horizontal="center"/>
    </xf>
    <xf numFmtId="41" fontId="0" fillId="0" borderId="0" xfId="0" applyNumberFormat="1"/>
    <xf numFmtId="0" fontId="12" fillId="0" borderId="0" xfId="0" applyFont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zoomScale="106" zoomScaleNormal="106" workbookViewId="0">
      <selection activeCell="A14" sqref="A14:A29"/>
    </sheetView>
  </sheetViews>
  <sheetFormatPr defaultRowHeight="15" x14ac:dyDescent="0.25"/>
  <cols>
    <col min="1" max="1" width="11.28515625" bestFit="1" customWidth="1"/>
    <col min="2" max="2" width="15.42578125" bestFit="1" customWidth="1"/>
    <col min="3" max="3" width="15.85546875" bestFit="1" customWidth="1"/>
    <col min="4" max="4" width="17.140625" customWidth="1"/>
    <col min="5" max="5" width="17.7109375" customWidth="1"/>
    <col min="6" max="6" width="10.5703125" customWidth="1"/>
    <col min="7" max="7" width="18.5703125" customWidth="1"/>
    <col min="8" max="8" width="11.28515625" bestFit="1" customWidth="1"/>
    <col min="9" max="9" width="19.5703125" customWidth="1"/>
    <col min="10" max="10" width="20.5703125" bestFit="1" customWidth="1"/>
    <col min="11" max="11" width="19.7109375" bestFit="1" customWidth="1"/>
    <col min="12" max="12" width="15.140625" bestFit="1" customWidth="1"/>
    <col min="13" max="13" width="17" customWidth="1"/>
    <col min="14" max="14" width="13.85546875" customWidth="1"/>
    <col min="15" max="15" width="15.140625" bestFit="1" customWidth="1"/>
    <col min="16" max="16" width="12" bestFit="1" customWidth="1"/>
    <col min="17" max="17" width="14.85546875" bestFit="1" customWidth="1"/>
    <col min="18" max="18" width="12.5703125" bestFit="1" customWidth="1"/>
    <col min="19" max="19" width="15.85546875" customWidth="1"/>
    <col min="20" max="20" width="12" bestFit="1" customWidth="1"/>
    <col min="21" max="21" width="14.42578125" bestFit="1" customWidth="1"/>
    <col min="22" max="22" width="12" bestFit="1" customWidth="1"/>
    <col min="23" max="23" width="18.85546875" customWidth="1"/>
    <col min="24" max="24" width="17.28515625" bestFit="1" customWidth="1"/>
    <col min="25" max="25" width="16.7109375" customWidth="1"/>
    <col min="26" max="26" width="23.7109375" customWidth="1"/>
    <col min="27" max="27" width="47" hidden="1" customWidth="1"/>
    <col min="28" max="28" width="17.5703125" hidden="1" customWidth="1"/>
    <col min="29" max="29" width="16.5703125" hidden="1" customWidth="1"/>
    <col min="30" max="30" width="12.7109375" hidden="1" customWidth="1"/>
    <col min="31" max="31" width="13.28515625" hidden="1" customWidth="1"/>
  </cols>
  <sheetData>
    <row r="1" spans="1:26" ht="15.75" x14ac:dyDescent="0.25">
      <c r="V1" s="36" t="s">
        <v>110</v>
      </c>
    </row>
    <row r="2" spans="1:26" ht="18.75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V2" s="37" t="s">
        <v>105</v>
      </c>
      <c r="W2" s="34"/>
      <c r="X2" s="34"/>
      <c r="Y2" s="34"/>
      <c r="Z2" s="21"/>
    </row>
    <row r="3" spans="1:26" ht="18.7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V3" s="37" t="s">
        <v>111</v>
      </c>
    </row>
    <row r="4" spans="1:26" ht="18.75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V4" s="37" t="s">
        <v>106</v>
      </c>
      <c r="W4" s="35"/>
      <c r="X4" s="35"/>
      <c r="Y4" s="35"/>
      <c r="Z4" s="1"/>
    </row>
    <row r="5" spans="1:26" ht="18.7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V5" s="38" t="s">
        <v>112</v>
      </c>
      <c r="W5" s="35"/>
      <c r="X5" s="35"/>
      <c r="Y5" s="35"/>
      <c r="Z5" s="1"/>
    </row>
    <row r="6" spans="1:26" ht="18.7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V6" s="38" t="s">
        <v>114</v>
      </c>
      <c r="W6" s="35"/>
      <c r="X6" s="35"/>
      <c r="Y6" s="35"/>
      <c r="Z6" s="1"/>
    </row>
    <row r="7" spans="1:26" ht="18.7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V7" s="37" t="s">
        <v>113</v>
      </c>
      <c r="W7" s="35"/>
      <c r="X7" s="35"/>
      <c r="Y7" s="35"/>
      <c r="Z7" s="33"/>
    </row>
    <row r="8" spans="1:26" ht="18.75" x14ac:dyDescent="0.3">
      <c r="A8" s="47" t="s">
        <v>107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33"/>
    </row>
    <row r="9" spans="1:26" ht="18.7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Y9" s="2" t="s">
        <v>0</v>
      </c>
      <c r="Z9" s="2"/>
    </row>
    <row r="10" spans="1:26" x14ac:dyDescent="0.25">
      <c r="A10" s="50" t="s">
        <v>1</v>
      </c>
      <c r="B10" s="50" t="s">
        <v>2</v>
      </c>
      <c r="C10" s="50" t="s">
        <v>3</v>
      </c>
      <c r="D10" s="50" t="s">
        <v>4</v>
      </c>
      <c r="E10" s="50" t="s">
        <v>5</v>
      </c>
      <c r="F10" s="50" t="s">
        <v>6</v>
      </c>
      <c r="G10" s="50" t="s">
        <v>7</v>
      </c>
      <c r="H10" s="50" t="s">
        <v>83</v>
      </c>
      <c r="I10" s="50" t="s">
        <v>84</v>
      </c>
      <c r="J10" s="50" t="s">
        <v>8</v>
      </c>
      <c r="K10" s="56" t="s">
        <v>9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0" t="s">
        <v>10</v>
      </c>
      <c r="Z10" s="32"/>
    </row>
    <row r="11" spans="1:26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 t="s">
        <v>11</v>
      </c>
      <c r="L11" s="50"/>
      <c r="M11" s="50"/>
      <c r="N11" s="50" t="s">
        <v>12</v>
      </c>
      <c r="O11" s="50"/>
      <c r="P11" s="50"/>
      <c r="Q11" s="50" t="s">
        <v>13</v>
      </c>
      <c r="R11" s="50"/>
      <c r="S11" s="50"/>
      <c r="T11" s="50" t="s">
        <v>14</v>
      </c>
      <c r="U11" s="50"/>
      <c r="V11" s="50"/>
      <c r="W11" s="50" t="s">
        <v>15</v>
      </c>
      <c r="X11" s="50" t="s">
        <v>9</v>
      </c>
      <c r="Y11" s="50"/>
      <c r="Z11" s="32"/>
    </row>
    <row r="12" spans="1:26" ht="36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3" t="s">
        <v>11</v>
      </c>
      <c r="L12" s="3" t="s">
        <v>16</v>
      </c>
      <c r="M12" s="3" t="s">
        <v>17</v>
      </c>
      <c r="N12" s="3" t="s">
        <v>12</v>
      </c>
      <c r="O12" s="3" t="s">
        <v>18</v>
      </c>
      <c r="P12" s="3" t="s">
        <v>17</v>
      </c>
      <c r="Q12" s="3" t="s">
        <v>13</v>
      </c>
      <c r="R12" s="3" t="s">
        <v>19</v>
      </c>
      <c r="S12" s="3" t="s">
        <v>17</v>
      </c>
      <c r="T12" s="3" t="s">
        <v>20</v>
      </c>
      <c r="U12" s="3" t="s">
        <v>21</v>
      </c>
      <c r="V12" s="3" t="s">
        <v>17</v>
      </c>
      <c r="W12" s="50"/>
      <c r="X12" s="50"/>
      <c r="Y12" s="50"/>
      <c r="Z12" s="32"/>
    </row>
    <row r="13" spans="1:26" x14ac:dyDescent="0.25">
      <c r="A13" s="4" t="s">
        <v>22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27</v>
      </c>
      <c r="G13" s="4" t="s">
        <v>28</v>
      </c>
      <c r="H13" s="4" t="s">
        <v>29</v>
      </c>
      <c r="I13" s="4" t="s">
        <v>30</v>
      </c>
      <c r="J13" s="4" t="s">
        <v>31</v>
      </c>
      <c r="K13" s="4" t="s">
        <v>32</v>
      </c>
      <c r="L13" s="4" t="s">
        <v>33</v>
      </c>
      <c r="M13" s="4" t="s">
        <v>34</v>
      </c>
      <c r="N13" s="4" t="s">
        <v>35</v>
      </c>
      <c r="O13" s="4" t="s">
        <v>36</v>
      </c>
      <c r="P13" s="4" t="s">
        <v>37</v>
      </c>
      <c r="Q13" s="4" t="s">
        <v>38</v>
      </c>
      <c r="R13" s="4" t="s">
        <v>39</v>
      </c>
      <c r="S13" s="4" t="s">
        <v>40</v>
      </c>
      <c r="T13" s="4" t="s">
        <v>41</v>
      </c>
      <c r="U13" s="4" t="s">
        <v>42</v>
      </c>
      <c r="V13" s="4" t="s">
        <v>43</v>
      </c>
      <c r="W13" s="4" t="s">
        <v>44</v>
      </c>
      <c r="X13" s="4" t="s">
        <v>45</v>
      </c>
      <c r="Y13" s="5" t="s">
        <v>46</v>
      </c>
      <c r="Z13" s="22"/>
    </row>
    <row r="14" spans="1:26" x14ac:dyDescent="0.25">
      <c r="A14" s="6">
        <v>1</v>
      </c>
      <c r="B14" s="39" t="s">
        <v>87</v>
      </c>
      <c r="C14" s="39" t="s">
        <v>88</v>
      </c>
      <c r="D14" s="40">
        <v>651999000</v>
      </c>
      <c r="E14" s="39" t="s">
        <v>101</v>
      </c>
      <c r="F14" s="39">
        <v>9</v>
      </c>
      <c r="G14" s="40">
        <f>IF(AND($E14="TERTINGGAL",$F14&gt;=8),$J$34,IF(AND($E14="SANGAT TERTINGGAL",$F14&gt;=8),$J$35,0))</f>
        <v>0</v>
      </c>
      <c r="H14" s="39">
        <v>51.845831301345321</v>
      </c>
      <c r="I14" s="39">
        <f>_xlfn.RANK.EQ($H14,$H$14:$H$29,0)</f>
        <v>14</v>
      </c>
      <c r="J14" s="40">
        <f>IF($I14&lt;=$D$44,$J$36,0)</f>
        <v>144096000</v>
      </c>
      <c r="K14" s="39">
        <v>4128</v>
      </c>
      <c r="L14" s="41">
        <f>$K14/$K$30</f>
        <v>7.0893728103317996E-2</v>
      </c>
      <c r="M14" s="39">
        <f>$L14*$G$33</f>
        <v>7.0893728103318E-3</v>
      </c>
      <c r="N14" s="39">
        <v>637</v>
      </c>
      <c r="O14" s="41">
        <f>$N14/$N$30</f>
        <v>4.8013868998266374E-2</v>
      </c>
      <c r="P14" s="39">
        <f>$O14*$G$34</f>
        <v>2.4006934499133187E-2</v>
      </c>
      <c r="Q14" s="39">
        <v>4.8034748376090777</v>
      </c>
      <c r="R14" s="41">
        <f>$Q14/$Q$30</f>
        <v>7.9220779220779219E-2</v>
      </c>
      <c r="S14" s="39">
        <f>$R14*$G$35</f>
        <v>1.1883116883116883E-2</v>
      </c>
      <c r="T14" s="39">
        <v>30.565928641425323</v>
      </c>
      <c r="U14" s="41">
        <f>$T14/$T$30</f>
        <v>5.47667884504024E-2</v>
      </c>
      <c r="V14" s="39">
        <f>$U14*$G$36</f>
        <v>1.36916971126006E-2</v>
      </c>
      <c r="W14" s="39">
        <f t="shared" ref="W14:W29" si="0">M14+P14+S14+V14</f>
        <v>5.6671121305182467E-2</v>
      </c>
      <c r="X14" s="40">
        <f>ROUND(W14*$D$41,-3)</f>
        <v>6287363000</v>
      </c>
      <c r="Y14" s="40">
        <f t="shared" ref="Y14:Y29" si="1">D14+G14+J14+X14</f>
        <v>7083458000</v>
      </c>
      <c r="Z14" s="23"/>
    </row>
    <row r="15" spans="1:26" x14ac:dyDescent="0.25">
      <c r="A15" s="6">
        <v>2</v>
      </c>
      <c r="B15" s="39" t="s">
        <v>87</v>
      </c>
      <c r="C15" s="39" t="s">
        <v>85</v>
      </c>
      <c r="D15" s="40">
        <v>651999000</v>
      </c>
      <c r="E15" s="39" t="s">
        <v>101</v>
      </c>
      <c r="F15" s="39">
        <v>8</v>
      </c>
      <c r="G15" s="40">
        <f>IF(AND($E15="TERTINGGAL",$F15&gt;=8),$J$34,IF(AND($E15="SANGAT TERTINGGAL",$F15&gt;=8),$J$35,0))</f>
        <v>0</v>
      </c>
      <c r="H15" s="39">
        <v>56.123134616306466</v>
      </c>
      <c r="I15" s="39">
        <f>_xlfn.RANK.EQ($H15,$H$14:$H$29,0)</f>
        <v>5</v>
      </c>
      <c r="J15" s="40">
        <f>IF($I15&lt;=$D$44,$J$36,0)</f>
        <v>144096000</v>
      </c>
      <c r="K15" s="39">
        <v>2423</v>
      </c>
      <c r="L15" s="41">
        <f>$K15/$K$30</f>
        <v>4.1612282750566734E-2</v>
      </c>
      <c r="M15" s="39">
        <f>$L15*$G$33</f>
        <v>4.1612282750566739E-3</v>
      </c>
      <c r="N15" s="39">
        <v>399</v>
      </c>
      <c r="O15" s="41">
        <f>$N15/$N$30</f>
        <v>3.0074621240672346E-2</v>
      </c>
      <c r="P15" s="39">
        <f>$O15*$G$34</f>
        <v>1.5037310620336173E-2</v>
      </c>
      <c r="Q15" s="39">
        <v>3.3368401023554863</v>
      </c>
      <c r="R15" s="41">
        <f>$Q15/$Q$30</f>
        <v>5.503246753246753E-2</v>
      </c>
      <c r="S15" s="39">
        <f>$R15*$G$35</f>
        <v>8.2548701298701295E-3</v>
      </c>
      <c r="T15" s="39">
        <v>26.920703448629212</v>
      </c>
      <c r="U15" s="41">
        <f>$T15/$T$30</f>
        <v>4.8235422126482567E-2</v>
      </c>
      <c r="V15" s="39">
        <f>$U15*$G$36</f>
        <v>1.2058855531620642E-2</v>
      </c>
      <c r="W15" s="39">
        <f t="shared" si="0"/>
        <v>3.9512264556883621E-2</v>
      </c>
      <c r="X15" s="40">
        <f>ROUND(W15*$D$41,-3)</f>
        <v>4383678000</v>
      </c>
      <c r="Y15" s="40">
        <f t="shared" si="1"/>
        <v>5179773000</v>
      </c>
      <c r="Z15" s="23"/>
    </row>
    <row r="16" spans="1:26" x14ac:dyDescent="0.25">
      <c r="A16" s="6">
        <v>3</v>
      </c>
      <c r="B16" s="39" t="s">
        <v>87</v>
      </c>
      <c r="C16" s="39" t="s">
        <v>86</v>
      </c>
      <c r="D16" s="40">
        <v>651999000</v>
      </c>
      <c r="E16" s="39" t="s">
        <v>101</v>
      </c>
      <c r="F16" s="39">
        <v>10</v>
      </c>
      <c r="G16" s="40">
        <f>IF(AND($E16="TERTINGGAL",$F16&gt;=8),$J$34,IF(AND($E16="SANGAT TERTINGGAL",$F16&gt;=8),$J$35,0))</f>
        <v>0</v>
      </c>
      <c r="H16" s="39">
        <v>50.0355329519276</v>
      </c>
      <c r="I16" s="39">
        <f>_xlfn.RANK.EQ($H16,$H$14:$H$29,0)</f>
        <v>15</v>
      </c>
      <c r="J16" s="40">
        <f>IF($I16&lt;=$D$44,$J$36,0)</f>
        <v>144096000</v>
      </c>
      <c r="K16" s="39">
        <v>4789</v>
      </c>
      <c r="L16" s="41">
        <f>$K16/$K$30</f>
        <v>8.2245655011334753E-2</v>
      </c>
      <c r="M16" s="39">
        <f>$L16*$G$33</f>
        <v>8.2245655011334764E-3</v>
      </c>
      <c r="N16" s="39">
        <v>1739</v>
      </c>
      <c r="O16" s="41">
        <f>$N16/$N$30</f>
        <v>0.13107710861536143</v>
      </c>
      <c r="P16" s="39">
        <f>$O16*$G$34</f>
        <v>6.5538554307680713E-2</v>
      </c>
      <c r="Q16" s="39">
        <v>5.1184567941736079</v>
      </c>
      <c r="R16" s="41">
        <f>$Q16/$Q$30</f>
        <v>8.4415584415584416E-2</v>
      </c>
      <c r="S16" s="39">
        <f>$R16*$G$35</f>
        <v>1.2662337662337661E-2</v>
      </c>
      <c r="T16" s="39">
        <v>36.574393817969444</v>
      </c>
      <c r="U16" s="41">
        <f>$T16/$T$30</f>
        <v>6.5532512112710106E-2</v>
      </c>
      <c r="V16" s="39">
        <f>$U16*$G$36</f>
        <v>1.6383128028177527E-2</v>
      </c>
      <c r="W16" s="39">
        <f t="shared" si="0"/>
        <v>0.10280858549932938</v>
      </c>
      <c r="X16" s="40">
        <f>ROUND(W16*$D$41,-3)</f>
        <v>11406073000</v>
      </c>
      <c r="Y16" s="40">
        <f t="shared" si="1"/>
        <v>12202168000</v>
      </c>
      <c r="Z16" s="23"/>
    </row>
    <row r="17" spans="1:31" x14ac:dyDescent="0.25">
      <c r="A17" s="6">
        <v>4</v>
      </c>
      <c r="B17" s="39" t="s">
        <v>87</v>
      </c>
      <c r="C17" s="39" t="s">
        <v>89</v>
      </c>
      <c r="D17" s="40">
        <v>651999000</v>
      </c>
      <c r="E17" s="39" t="s">
        <v>104</v>
      </c>
      <c r="F17" s="39">
        <v>8</v>
      </c>
      <c r="G17" s="40">
        <f>IF(AND($E17="TERTINGGAL",$F17&gt;=8),$J$34,IF(AND($E17="SANGAT TERTINGGAL",$F17&gt;=8),$J$35,0))</f>
        <v>0</v>
      </c>
      <c r="H17" s="39">
        <v>55.338759798907255</v>
      </c>
      <c r="I17" s="39">
        <f>_xlfn.RANK.EQ($H17,$H$14:$H$29,0)</f>
        <v>7</v>
      </c>
      <c r="J17" s="40">
        <f>IF($I17&lt;=$D$44,$J$36,0)</f>
        <v>144096000</v>
      </c>
      <c r="K17" s="39">
        <v>2711</v>
      </c>
      <c r="L17" s="41">
        <f>$K17/$K$30</f>
        <v>4.6558356804286598E-2</v>
      </c>
      <c r="M17" s="39">
        <f>$L17*$G$33</f>
        <v>4.6558356804286601E-3</v>
      </c>
      <c r="N17" s="39">
        <v>425</v>
      </c>
      <c r="O17" s="41">
        <f>$N17/$N$30</f>
        <v>3.2034370995703623E-2</v>
      </c>
      <c r="P17" s="39">
        <f>$O17*$G$34</f>
        <v>1.6017185497851812E-2</v>
      </c>
      <c r="Q17" s="39">
        <v>1.565066596680007</v>
      </c>
      <c r="R17" s="41">
        <f>$Q17/$Q$30</f>
        <v>2.5811688311688313E-2</v>
      </c>
      <c r="S17" s="39">
        <f>$R17*$G$35</f>
        <v>3.8717532467532467E-3</v>
      </c>
      <c r="T17" s="39">
        <v>20.0451694893869</v>
      </c>
      <c r="U17" s="41">
        <f>$T17/$T$30</f>
        <v>3.591611986523701E-2</v>
      </c>
      <c r="V17" s="39">
        <f>$U17*$G$36</f>
        <v>8.9790299663092526E-3</v>
      </c>
      <c r="W17" s="39">
        <f t="shared" si="0"/>
        <v>3.3523804391342976E-2</v>
      </c>
      <c r="X17" s="40">
        <f>ROUND(W17*$D$41,-3)</f>
        <v>3719290000</v>
      </c>
      <c r="Y17" s="40">
        <f t="shared" si="1"/>
        <v>4515385000</v>
      </c>
      <c r="Z17" s="23"/>
    </row>
    <row r="18" spans="1:31" x14ac:dyDescent="0.25">
      <c r="A18" s="6">
        <v>5</v>
      </c>
      <c r="B18" s="39" t="s">
        <v>87</v>
      </c>
      <c r="C18" s="39" t="s">
        <v>90</v>
      </c>
      <c r="D18" s="40">
        <v>651999000</v>
      </c>
      <c r="E18" s="39" t="s">
        <v>101</v>
      </c>
      <c r="F18" s="39">
        <v>9</v>
      </c>
      <c r="G18" s="40">
        <f>IF(AND($E18="TERTINGGAL",$F18&gt;=8),$J$34,IF(AND($E18="SANGAT TERTINGGAL",$F18&gt;=8),$J$35,0))</f>
        <v>0</v>
      </c>
      <c r="H18" s="39">
        <v>55.106277138350158</v>
      </c>
      <c r="I18" s="39">
        <f>_xlfn.RANK.EQ($H18,$H$14:$H$29,0)</f>
        <v>8</v>
      </c>
      <c r="J18" s="40">
        <f>IF($I18&lt;=$D$44,$J$36,0)</f>
        <v>144096000</v>
      </c>
      <c r="K18" s="39">
        <v>2315</v>
      </c>
      <c r="L18" s="41">
        <f>$K18/$K$30</f>
        <v>3.9757504980421791E-2</v>
      </c>
      <c r="M18" s="39">
        <f>$L18*$G$33</f>
        <v>3.9757504980421797E-3</v>
      </c>
      <c r="N18" s="39">
        <v>529</v>
      </c>
      <c r="O18" s="41">
        <f>$N18/$N$30</f>
        <v>3.9873370015828746E-2</v>
      </c>
      <c r="P18" s="39">
        <f>$O18*$G$34</f>
        <v>1.9936685007914373E-2</v>
      </c>
      <c r="Q18" s="39">
        <v>3.435271963781902</v>
      </c>
      <c r="R18" s="41">
        <f>$Q18/$Q$30</f>
        <v>5.6655844155844154E-2</v>
      </c>
      <c r="S18" s="39">
        <f>$R18*$G$35</f>
        <v>8.4983766233766231E-3</v>
      </c>
      <c r="T18" s="39">
        <v>37.127430623959214</v>
      </c>
      <c r="U18" s="41">
        <f>$T18/$T$30</f>
        <v>6.6523420981020404E-2</v>
      </c>
      <c r="V18" s="39">
        <f>$U18*$G$36</f>
        <v>1.6630855245255101E-2</v>
      </c>
      <c r="W18" s="39">
        <f t="shared" si="0"/>
        <v>4.9041667374588281E-2</v>
      </c>
      <c r="X18" s="40">
        <f>ROUND(W18*$D$41,-3)</f>
        <v>5440915000</v>
      </c>
      <c r="Y18" s="40">
        <f t="shared" si="1"/>
        <v>6237010000</v>
      </c>
      <c r="Z18" s="23"/>
    </row>
    <row r="19" spans="1:31" x14ac:dyDescent="0.25">
      <c r="A19" s="6">
        <v>6</v>
      </c>
      <c r="B19" s="39" t="s">
        <v>87</v>
      </c>
      <c r="C19" s="39" t="s">
        <v>91</v>
      </c>
      <c r="D19" s="40">
        <v>651999000</v>
      </c>
      <c r="E19" s="39" t="s">
        <v>101</v>
      </c>
      <c r="F19" s="39">
        <v>9</v>
      </c>
      <c r="G19" s="40">
        <f>IF(AND($E19="TERTINGGAL",$F19&gt;=8),$J$34,IF(AND($E19="SANGAT TERTINGGAL",$F19&gt;=8),$J$35,0))</f>
        <v>0</v>
      </c>
      <c r="H19" s="39">
        <v>49.010917688711451</v>
      </c>
      <c r="I19" s="39">
        <f>_xlfn.RANK.EQ($H19,$H$14:$H$29,0)</f>
        <v>16</v>
      </c>
      <c r="J19" s="40">
        <f>IF($I19&lt;=$D$44,$J$36,0)</f>
        <v>144096000</v>
      </c>
      <c r="K19" s="39">
        <v>4257</v>
      </c>
      <c r="L19" s="41">
        <f>$K19/$K$30</f>
        <v>7.3109157106546682E-2</v>
      </c>
      <c r="M19" s="39">
        <f>$L19*$G$33</f>
        <v>7.3109157106546682E-3</v>
      </c>
      <c r="N19" s="39">
        <v>794</v>
      </c>
      <c r="O19" s="41">
        <f>$N19/$N$30</f>
        <v>5.9847742519032188E-2</v>
      </c>
      <c r="P19" s="39">
        <f>$O19*$G$34</f>
        <v>2.9923871259516094E-2</v>
      </c>
      <c r="Q19" s="39">
        <v>5.5712433567351187</v>
      </c>
      <c r="R19" s="41">
        <f>$Q19/$Q$30</f>
        <v>9.1883116883116872E-2</v>
      </c>
      <c r="S19" s="39">
        <f>$R19*$G$35</f>
        <v>1.378246753246753E-2</v>
      </c>
      <c r="T19" s="39">
        <v>41.626804144980547</v>
      </c>
      <c r="U19" s="41">
        <f>$T19/$T$30</f>
        <v>7.4585215558763254E-2</v>
      </c>
      <c r="V19" s="39">
        <f>$U19*$G$36</f>
        <v>1.8646303889690814E-2</v>
      </c>
      <c r="W19" s="39">
        <f t="shared" si="0"/>
        <v>6.96635583923291E-2</v>
      </c>
      <c r="X19" s="40">
        <f>ROUND(W19*$D$41,-3)</f>
        <v>7728806000</v>
      </c>
      <c r="Y19" s="40">
        <f t="shared" si="1"/>
        <v>8524901000</v>
      </c>
      <c r="Z19" s="23"/>
    </row>
    <row r="20" spans="1:31" x14ac:dyDescent="0.25">
      <c r="A20" s="6">
        <v>7</v>
      </c>
      <c r="B20" s="39" t="s">
        <v>87</v>
      </c>
      <c r="C20" s="39" t="s">
        <v>92</v>
      </c>
      <c r="D20" s="40">
        <v>651999000</v>
      </c>
      <c r="E20" s="39" t="s">
        <v>102</v>
      </c>
      <c r="F20" s="39">
        <v>10</v>
      </c>
      <c r="G20" s="40">
        <f>IF(AND($E20="TERTINGGAL",$F20&gt;=8),$J$34,IF(AND($E20="SANGAT TERTINGGAL",$F20&gt;=8),$J$35,0))</f>
        <v>181634000</v>
      </c>
      <c r="H20" s="39">
        <v>53.54656849835483</v>
      </c>
      <c r="I20" s="39">
        <f>_xlfn.RANK.EQ($H20,$H$14:$H$29,0)</f>
        <v>12</v>
      </c>
      <c r="J20" s="40">
        <f>IF($I20&lt;=$D$44,$J$36,0)</f>
        <v>144096000</v>
      </c>
      <c r="K20" s="39">
        <v>2874</v>
      </c>
      <c r="L20" s="41">
        <f>$K20/$K$30</f>
        <v>4.93576973277461E-2</v>
      </c>
      <c r="M20" s="39">
        <f>$L20*$G$33</f>
        <v>4.9357697327746105E-3</v>
      </c>
      <c r="N20" s="39">
        <v>860</v>
      </c>
      <c r="O20" s="41">
        <f>$N20/$N$30</f>
        <v>6.4822491897188514E-2</v>
      </c>
      <c r="P20" s="39">
        <f>$O20*$G$34</f>
        <v>3.2411245948594257E-2</v>
      </c>
      <c r="Q20" s="39">
        <v>2.9037399120792582</v>
      </c>
      <c r="R20" s="41">
        <f>$Q20/$Q$30</f>
        <v>4.7889610389610392E-2</v>
      </c>
      <c r="S20" s="39">
        <f>$R20*$G$35</f>
        <v>7.1834415584415582E-3</v>
      </c>
      <c r="T20" s="39">
        <v>38.551577565689612</v>
      </c>
      <c r="U20" s="41">
        <f>$T20/$T$30</f>
        <v>6.9075149580371059E-2</v>
      </c>
      <c r="V20" s="39">
        <f>$U20*$G$36</f>
        <v>1.7268787395092765E-2</v>
      </c>
      <c r="W20" s="39">
        <f t="shared" si="0"/>
        <v>6.1799244634903189E-2</v>
      </c>
      <c r="X20" s="40">
        <f>ROUND(W20*$D$41,-3)</f>
        <v>6856302000</v>
      </c>
      <c r="Y20" s="40">
        <f t="shared" si="1"/>
        <v>7834031000</v>
      </c>
      <c r="Z20" s="23"/>
    </row>
    <row r="21" spans="1:31" x14ac:dyDescent="0.25">
      <c r="A21" s="6">
        <v>8</v>
      </c>
      <c r="B21" s="39" t="s">
        <v>87</v>
      </c>
      <c r="C21" s="39" t="s">
        <v>93</v>
      </c>
      <c r="D21" s="40">
        <v>651999000</v>
      </c>
      <c r="E21" s="39" t="s">
        <v>101</v>
      </c>
      <c r="F21" s="39">
        <v>10</v>
      </c>
      <c r="G21" s="40">
        <f>IF(AND($E21="TERTINGGAL",$F21&gt;=8),$J$34,IF(AND($E21="SANGAT TERTINGGAL",$F21&gt;=8),$J$35,0))</f>
        <v>0</v>
      </c>
      <c r="H21" s="39">
        <v>55.674026087282307</v>
      </c>
      <c r="I21" s="39">
        <f>_xlfn.RANK.EQ($H21,$H$14:$H$29,0)</f>
        <v>6</v>
      </c>
      <c r="J21" s="40">
        <f>IF($I21&lt;=$D$44,$J$36,0)</f>
        <v>144096000</v>
      </c>
      <c r="K21" s="39">
        <v>4309</v>
      </c>
      <c r="L21" s="41">
        <f>$K21/$K$30</f>
        <v>7.4002198255134988E-2</v>
      </c>
      <c r="M21" s="39">
        <f>$L21*$G$33</f>
        <v>7.4002198255134991E-3</v>
      </c>
      <c r="N21" s="39">
        <v>1100</v>
      </c>
      <c r="O21" s="41">
        <f>$N21/$N$30</f>
        <v>8.2912489635938794E-2</v>
      </c>
      <c r="P21" s="39">
        <f>$O21*$G$34</f>
        <v>4.1456244817969397E-2</v>
      </c>
      <c r="Q21" s="39">
        <v>5.0003385604619091</v>
      </c>
      <c r="R21" s="41">
        <f>$Q21/$Q$30</f>
        <v>8.2467532467532467E-2</v>
      </c>
      <c r="S21" s="39">
        <f>$R21*$G$35</f>
        <v>1.237012987012987E-2</v>
      </c>
      <c r="T21" s="39">
        <v>37.032418239435003</v>
      </c>
      <c r="U21" s="41">
        <f>$T21/$T$30</f>
        <v>6.6353181652634569E-2</v>
      </c>
      <c r="V21" s="39">
        <f>$U21*$G$36</f>
        <v>1.6588295413158642E-2</v>
      </c>
      <c r="W21" s="39">
        <f t="shared" si="0"/>
        <v>7.7814889926771408E-2</v>
      </c>
      <c r="X21" s="40">
        <f>ROUND(W21*$D$41,-3)</f>
        <v>8633153000</v>
      </c>
      <c r="Y21" s="40">
        <f t="shared" si="1"/>
        <v>9429248000</v>
      </c>
      <c r="Z21" s="23"/>
    </row>
    <row r="22" spans="1:31" x14ac:dyDescent="0.25">
      <c r="A22" s="6">
        <v>9</v>
      </c>
      <c r="B22" s="39" t="s">
        <v>87</v>
      </c>
      <c r="C22" s="39" t="s">
        <v>94</v>
      </c>
      <c r="D22" s="40">
        <v>651999000</v>
      </c>
      <c r="E22" s="39" t="s">
        <v>101</v>
      </c>
      <c r="F22" s="39">
        <v>9</v>
      </c>
      <c r="G22" s="40">
        <f>IF(AND($E22="TERTINGGAL",$F22&gt;=8),$J$34,IF(AND($E22="SANGAT TERTINGGAL",$F22&gt;=8),$J$35,0))</f>
        <v>0</v>
      </c>
      <c r="H22" s="39">
        <v>58.300698691085366</v>
      </c>
      <c r="I22" s="39">
        <f>_xlfn.RANK.EQ($H22,$H$14:$H$29,0)</f>
        <v>1</v>
      </c>
      <c r="J22" s="40">
        <f>IF($I22&lt;=$D$44,$J$36,0)</f>
        <v>144096000</v>
      </c>
      <c r="K22" s="39">
        <v>3105</v>
      </c>
      <c r="L22" s="41">
        <f>$K22/$K$30</f>
        <v>5.3324860891667242E-2</v>
      </c>
      <c r="M22" s="39">
        <f>$L22*$G$33</f>
        <v>5.3324860891667243E-3</v>
      </c>
      <c r="N22" s="39">
        <v>743</v>
      </c>
      <c r="O22" s="41">
        <f>$N22/$N$30</f>
        <v>5.6003617999547749E-2</v>
      </c>
      <c r="P22" s="39">
        <f>$O22*$G$34</f>
        <v>2.8001808999773874E-2</v>
      </c>
      <c r="Q22" s="39">
        <v>3.9569608293419036</v>
      </c>
      <c r="R22" s="41">
        <f>$Q22/$Q$30</f>
        <v>6.525974025974024E-2</v>
      </c>
      <c r="S22" s="39">
        <f>$R22*$G$35</f>
        <v>9.7889610389610363E-3</v>
      </c>
      <c r="T22" s="39">
        <v>43.81149285555162</v>
      </c>
      <c r="U22" s="41">
        <f>$T22/$T$30</f>
        <v>7.8499651983890265E-2</v>
      </c>
      <c r="V22" s="39">
        <f>$U22*$G$36</f>
        <v>1.9624912995972566E-2</v>
      </c>
      <c r="W22" s="39">
        <f t="shared" si="0"/>
        <v>6.2748169123874195E-2</v>
      </c>
      <c r="X22" s="40">
        <f>ROUND(W22*$D$41,-3)</f>
        <v>6961580000</v>
      </c>
      <c r="Y22" s="40">
        <f t="shared" si="1"/>
        <v>7757675000</v>
      </c>
      <c r="Z22" s="23"/>
    </row>
    <row r="23" spans="1:31" x14ac:dyDescent="0.25">
      <c r="A23" s="6">
        <v>10</v>
      </c>
      <c r="B23" s="39" t="s">
        <v>87</v>
      </c>
      <c r="C23" s="39" t="s">
        <v>95</v>
      </c>
      <c r="D23" s="40">
        <v>651999000</v>
      </c>
      <c r="E23" s="39" t="s">
        <v>101</v>
      </c>
      <c r="F23" s="39">
        <v>9</v>
      </c>
      <c r="G23" s="40">
        <f>IF(AND($E23="TERTINGGAL",$F23&gt;=8),$J$34,IF(AND($E23="SANGAT TERTINGGAL",$F23&gt;=8),$J$35,0))</f>
        <v>0</v>
      </c>
      <c r="H23" s="39">
        <v>53.481999629457974</v>
      </c>
      <c r="I23" s="39">
        <f>_xlfn.RANK.EQ($H23,$H$14:$H$29,0)</f>
        <v>13</v>
      </c>
      <c r="J23" s="40">
        <f>IF($I23&lt;=$D$44,$J$36,0)</f>
        <v>144096000</v>
      </c>
      <c r="K23" s="39">
        <v>3295</v>
      </c>
      <c r="L23" s="41">
        <f>$K23/$K$30</f>
        <v>5.6587895857662981E-2</v>
      </c>
      <c r="M23" s="39">
        <f>$L23*$G$33</f>
        <v>5.6587895857662983E-3</v>
      </c>
      <c r="N23" s="39">
        <v>541</v>
      </c>
      <c r="O23" s="41">
        <f>$N23/$N$30</f>
        <v>4.0777869902766259E-2</v>
      </c>
      <c r="P23" s="39">
        <f>$O23*$G$34</f>
        <v>2.0388934951383129E-2</v>
      </c>
      <c r="Q23" s="39">
        <v>3.4057424053539771</v>
      </c>
      <c r="R23" s="41">
        <f>$Q23/$Q$30</f>
        <v>5.616883116883116E-2</v>
      </c>
      <c r="S23" s="39">
        <f>$R23*$G$35</f>
        <v>8.4253246753246743E-3</v>
      </c>
      <c r="T23" s="39">
        <v>35.445113625754786</v>
      </c>
      <c r="U23" s="41">
        <f>$T23/$T$30</f>
        <v>6.3509113768959805E-2</v>
      </c>
      <c r="V23" s="39">
        <f>$U23*$G$36</f>
        <v>1.5877278442239951E-2</v>
      </c>
      <c r="W23" s="39">
        <f t="shared" si="0"/>
        <v>5.0350327654714047E-2</v>
      </c>
      <c r="X23" s="40">
        <f>ROUND(W23*$D$41,-3)</f>
        <v>5586104000</v>
      </c>
      <c r="Y23" s="40">
        <f t="shared" si="1"/>
        <v>6382199000</v>
      </c>
      <c r="Z23" s="23"/>
    </row>
    <row r="24" spans="1:31" x14ac:dyDescent="0.25">
      <c r="A24" s="6">
        <v>11</v>
      </c>
      <c r="B24" s="39" t="s">
        <v>87</v>
      </c>
      <c r="C24" s="39" t="s">
        <v>96</v>
      </c>
      <c r="D24" s="40">
        <v>651999000</v>
      </c>
      <c r="E24" s="39" t="s">
        <v>103</v>
      </c>
      <c r="F24" s="39">
        <v>10</v>
      </c>
      <c r="G24" s="40">
        <f>IF(AND($E24="TERTINGGAL",$F24&gt;=8),$J$34,IF(AND($E24="SANGAT TERTINGGAL",$F24&gt;=8),$J$35,0))</f>
        <v>0</v>
      </c>
      <c r="H24" s="39">
        <v>58.0656582170174</v>
      </c>
      <c r="I24" s="39">
        <f>_xlfn.RANK.EQ($H24,$H$14:$H$29,0)</f>
        <v>2</v>
      </c>
      <c r="J24" s="40">
        <f>IF($I24&lt;=$D$44,$J$36,0)</f>
        <v>144096000</v>
      </c>
      <c r="K24" s="39">
        <v>3242</v>
      </c>
      <c r="L24" s="41">
        <f>$K24/$K$30</f>
        <v>5.5677680840832591E-2</v>
      </c>
      <c r="M24" s="39">
        <f>$L24*$G$33</f>
        <v>5.5677680840832593E-3</v>
      </c>
      <c r="N24" s="39">
        <v>1092</v>
      </c>
      <c r="O24" s="41">
        <f>$N24/$N$30</f>
        <v>8.2309489711313785E-2</v>
      </c>
      <c r="P24" s="39">
        <f>$O24*$G$34</f>
        <v>4.1154744855656893E-2</v>
      </c>
      <c r="Q24" s="39">
        <v>2.4017374188045388</v>
      </c>
      <c r="R24" s="41">
        <f>$Q24/$Q$30</f>
        <v>3.961038961038961E-2</v>
      </c>
      <c r="S24" s="39">
        <f>$R24*$G$35</f>
        <v>5.9415584415584413E-3</v>
      </c>
      <c r="T24" s="39">
        <v>36.544711325094063</v>
      </c>
      <c r="U24" s="41">
        <f>$T24/$T$30</f>
        <v>6.5479328228554096E-2</v>
      </c>
      <c r="V24" s="39">
        <f>$U24*$G$36</f>
        <v>1.6369832057138524E-2</v>
      </c>
      <c r="W24" s="39">
        <f t="shared" si="0"/>
        <v>6.9033903438437128E-2</v>
      </c>
      <c r="X24" s="40">
        <f>ROUND(W24*$D$41,-3)</f>
        <v>7658949000</v>
      </c>
      <c r="Y24" s="40">
        <f t="shared" si="1"/>
        <v>8455044000</v>
      </c>
      <c r="Z24" s="23"/>
    </row>
    <row r="25" spans="1:31" x14ac:dyDescent="0.25">
      <c r="A25" s="6">
        <v>12</v>
      </c>
      <c r="B25" s="39" t="s">
        <v>87</v>
      </c>
      <c r="C25" s="39" t="s">
        <v>97</v>
      </c>
      <c r="D25" s="40">
        <v>651999000</v>
      </c>
      <c r="E25" s="39" t="s">
        <v>101</v>
      </c>
      <c r="F25" s="39">
        <v>8</v>
      </c>
      <c r="G25" s="40">
        <f>IF(AND($E25="TERTINGGAL",$F25&gt;=8),$J$34,IF(AND($E25="SANGAT TERTINGGAL",$F25&gt;=8),$J$35,0))</f>
        <v>0</v>
      </c>
      <c r="H25" s="39">
        <v>56.272467459792615</v>
      </c>
      <c r="I25" s="39">
        <f>_xlfn.RANK.EQ($H25,$H$14:$H$29,0)</f>
        <v>4</v>
      </c>
      <c r="J25" s="40">
        <f>IF($I25&lt;=$D$44,$J$36,0)</f>
        <v>144096000</v>
      </c>
      <c r="K25" s="39">
        <v>2009</v>
      </c>
      <c r="L25" s="41">
        <f>$K25/$K$30</f>
        <v>3.4502301298344439E-2</v>
      </c>
      <c r="M25" s="39">
        <f>$L25*$G$33</f>
        <v>3.4502301298344439E-3</v>
      </c>
      <c r="N25" s="39">
        <v>470</v>
      </c>
      <c r="O25" s="41">
        <f>$N25/$N$30</f>
        <v>3.5426245571719306E-2</v>
      </c>
      <c r="P25" s="39">
        <f>$O25*$G$34</f>
        <v>1.7713122785859653E-2</v>
      </c>
      <c r="Q25" s="39">
        <v>3.1695059379305803</v>
      </c>
      <c r="R25" s="41">
        <f>$Q25/$Q$30</f>
        <v>5.2272727272727276E-2</v>
      </c>
      <c r="S25" s="39">
        <f>$R25*$G$35</f>
        <v>7.8409090909090911E-3</v>
      </c>
      <c r="T25" s="39">
        <v>38.643476544431323</v>
      </c>
      <c r="U25" s="41">
        <f>$T25/$T$30</f>
        <v>6.9239810434834154E-2</v>
      </c>
      <c r="V25" s="39">
        <f>$U25*$G$36</f>
        <v>1.7309952608708538E-2</v>
      </c>
      <c r="W25" s="39">
        <f t="shared" si="0"/>
        <v>4.6314214615311725E-2</v>
      </c>
      <c r="X25" s="40">
        <f>ROUND(W25*$D$41,-3)</f>
        <v>5138319000</v>
      </c>
      <c r="Y25" s="40">
        <f t="shared" si="1"/>
        <v>5934414000</v>
      </c>
      <c r="Z25" s="23"/>
    </row>
    <row r="26" spans="1:31" x14ac:dyDescent="0.25">
      <c r="A26" s="6">
        <v>13</v>
      </c>
      <c r="B26" s="39" t="s">
        <v>87</v>
      </c>
      <c r="C26" s="39" t="s">
        <v>98</v>
      </c>
      <c r="D26" s="40">
        <v>651999000</v>
      </c>
      <c r="E26" s="39" t="s">
        <v>101</v>
      </c>
      <c r="F26" s="39">
        <v>7</v>
      </c>
      <c r="G26" s="40">
        <f>IF(AND($E26="TERTINGGAL",$F26&gt;=8),$J$34,IF(AND($E26="SANGAT TERTINGGAL",$F26&gt;=8),$J$35,0))</f>
        <v>0</v>
      </c>
      <c r="H26" s="39">
        <v>54.905897296814771</v>
      </c>
      <c r="I26" s="39">
        <f>_xlfn.RANK.EQ($H26,$H$14:$H$29,0)</f>
        <v>10</v>
      </c>
      <c r="J26" s="40">
        <f>IF($I26&lt;=$D$44,$J$36,0)</f>
        <v>144096000</v>
      </c>
      <c r="K26" s="39">
        <v>1693</v>
      </c>
      <c r="L26" s="41">
        <f>$K26/$K$30</f>
        <v>2.907535893384626E-2</v>
      </c>
      <c r="M26" s="39">
        <f>$L26*$G$33</f>
        <v>2.907535893384626E-3</v>
      </c>
      <c r="N26" s="39">
        <v>269</v>
      </c>
      <c r="O26" s="41">
        <f>$N26/$N$30</f>
        <v>2.0275872465515942E-2</v>
      </c>
      <c r="P26" s="39">
        <f>$O26*$G$34</f>
        <v>1.0137936232757971E-2</v>
      </c>
      <c r="Q26" s="39">
        <v>2.2245600682369906</v>
      </c>
      <c r="R26" s="41">
        <f>$Q26/$Q$30</f>
        <v>3.668831168831168E-2</v>
      </c>
      <c r="S26" s="39">
        <f>$R26*$G$35</f>
        <v>5.5032467532467521E-3</v>
      </c>
      <c r="T26" s="39">
        <v>46.046831634246686</v>
      </c>
      <c r="U26" s="41">
        <f>$T26/$T$30</f>
        <v>8.2504841142182594E-2</v>
      </c>
      <c r="V26" s="39">
        <f>$U26*$G$36</f>
        <v>2.0626210285545649E-2</v>
      </c>
      <c r="W26" s="39">
        <f t="shared" si="0"/>
        <v>3.9174929164934993E-2</v>
      </c>
      <c r="X26" s="40">
        <f>ROUND(W26*$D$41,-3)</f>
        <v>4346253000</v>
      </c>
      <c r="Y26" s="40">
        <f t="shared" si="1"/>
        <v>5142348000</v>
      </c>
      <c r="Z26" s="23"/>
    </row>
    <row r="27" spans="1:31" x14ac:dyDescent="0.25">
      <c r="A27" s="6">
        <v>14</v>
      </c>
      <c r="B27" s="39" t="s">
        <v>87</v>
      </c>
      <c r="C27" s="39" t="s">
        <v>99</v>
      </c>
      <c r="D27" s="40">
        <v>651999000</v>
      </c>
      <c r="E27" s="39" t="s">
        <v>101</v>
      </c>
      <c r="F27" s="39">
        <v>10</v>
      </c>
      <c r="G27" s="40">
        <f>IF(AND($E27="TERTINGGAL",$F27&gt;=8),$J$34,IF(AND($E27="SANGAT TERTINGGAL",$F27&gt;=8),$J$35,0))</f>
        <v>0</v>
      </c>
      <c r="H27" s="39">
        <v>55.055454415966388</v>
      </c>
      <c r="I27" s="39">
        <f>_xlfn.RANK.EQ($H27,$H$14:$H$29,0)</f>
        <v>9</v>
      </c>
      <c r="J27" s="40">
        <f>IF($I27&lt;=$D$44,$J$36,0)</f>
        <v>144096000</v>
      </c>
      <c r="K27" s="39">
        <v>5285</v>
      </c>
      <c r="L27" s="41">
        <f>$K27/$K$30</f>
        <v>9.0763893659407846E-2</v>
      </c>
      <c r="M27" s="39">
        <f>$L27*$G$33</f>
        <v>9.0763893659407853E-3</v>
      </c>
      <c r="N27" s="39">
        <v>937</v>
      </c>
      <c r="O27" s="41">
        <f>$N27/$N$30</f>
        <v>7.062636617170423E-2</v>
      </c>
      <c r="P27" s="39">
        <f>$O27*$G$34</f>
        <v>3.5313183085852115E-2</v>
      </c>
      <c r="Q27" s="39">
        <v>5.0495544911751162</v>
      </c>
      <c r="R27" s="41">
        <f>$Q27/$Q$30</f>
        <v>8.3279220779220772E-2</v>
      </c>
      <c r="S27" s="39">
        <f>$R27*$G$35</f>
        <v>1.2491883116883115E-2</v>
      </c>
      <c r="T27" s="39">
        <v>28.759532008115958</v>
      </c>
      <c r="U27" s="41">
        <f>$T27/$T$30</f>
        <v>5.1530160391934227E-2</v>
      </c>
      <c r="V27" s="39">
        <f>$U27*$G$36</f>
        <v>1.2882540097983557E-2</v>
      </c>
      <c r="W27" s="39">
        <f t="shared" si="0"/>
        <v>6.976399566665957E-2</v>
      </c>
      <c r="X27" s="40">
        <f>ROUND(W27*$D$41,-3)</f>
        <v>7739949000</v>
      </c>
      <c r="Y27" s="40">
        <f t="shared" si="1"/>
        <v>8536044000</v>
      </c>
      <c r="Z27" s="23"/>
    </row>
    <row r="28" spans="1:31" x14ac:dyDescent="0.25">
      <c r="A28" s="6">
        <v>15</v>
      </c>
      <c r="B28" s="39" t="s">
        <v>87</v>
      </c>
      <c r="C28" s="39" t="s">
        <v>100</v>
      </c>
      <c r="D28" s="40">
        <v>651999000</v>
      </c>
      <c r="E28" s="39" t="s">
        <v>101</v>
      </c>
      <c r="F28" s="39">
        <v>10</v>
      </c>
      <c r="G28" s="40">
        <f>IF(AND($E28="TERTINGGAL",$F28&gt;=8),$J$34,IF(AND($E28="SANGAT TERTINGGAL",$F28&gt;=8),$J$35,0))</f>
        <v>0</v>
      </c>
      <c r="H28" s="39">
        <v>54.509659619819587</v>
      </c>
      <c r="I28" s="39">
        <f>_xlfn.RANK.EQ($H28,$H$14:$H$29,0)</f>
        <v>11</v>
      </c>
      <c r="J28" s="40">
        <f>IF($I28&lt;=$D$44,$J$36,0)</f>
        <v>144096000</v>
      </c>
      <c r="K28" s="39">
        <v>4414</v>
      </c>
      <c r="L28" s="41">
        <f>$K28/$K$30</f>
        <v>7.5805454420553683E-2</v>
      </c>
      <c r="M28" s="39">
        <f>$L28*$G$33</f>
        <v>7.580545442055369E-3</v>
      </c>
      <c r="N28" s="39">
        <v>858</v>
      </c>
      <c r="O28" s="41">
        <f>$N28/$N$30</f>
        <v>6.4671741916032255E-2</v>
      </c>
      <c r="P28" s="39">
        <f>$O28*$G$34</f>
        <v>3.2335870958016127E-2</v>
      </c>
      <c r="Q28" s="39">
        <v>4.7444157207532287</v>
      </c>
      <c r="R28" s="41">
        <f>$Q28/$Q$30</f>
        <v>7.8246753246753245E-2</v>
      </c>
      <c r="S28" s="39">
        <f>$R28*$G$35</f>
        <v>1.1737012987012987E-2</v>
      </c>
      <c r="T28" s="39">
        <v>38.509235857004683</v>
      </c>
      <c r="U28" s="41">
        <f>$T28/$T$30</f>
        <v>6.8999283427918112E-2</v>
      </c>
      <c r="V28" s="39">
        <f>$U28*$G$36</f>
        <v>1.7249820856979528E-2</v>
      </c>
      <c r="W28" s="39">
        <f t="shared" si="0"/>
        <v>6.8903250244064018E-2</v>
      </c>
      <c r="X28" s="40">
        <f>ROUND(W28*$D$41,-3)</f>
        <v>7644454000</v>
      </c>
      <c r="Y28" s="40">
        <f t="shared" si="1"/>
        <v>8440549000</v>
      </c>
      <c r="Z28" s="23"/>
    </row>
    <row r="29" spans="1:31" x14ac:dyDescent="0.25">
      <c r="A29" s="6">
        <v>16</v>
      </c>
      <c r="B29" s="39" t="s">
        <v>87</v>
      </c>
      <c r="C29" s="39" t="s">
        <v>87</v>
      </c>
      <c r="D29" s="40">
        <v>651999000</v>
      </c>
      <c r="E29" s="39" t="s">
        <v>103</v>
      </c>
      <c r="F29" s="39">
        <v>10</v>
      </c>
      <c r="G29" s="40">
        <f>IF(AND($E29="TERTINGGAL",$F29&gt;=8),$J$34,IF(AND($E29="SANGAT TERTINGGAL",$F29&gt;=8),$J$35,0))</f>
        <v>0</v>
      </c>
      <c r="H29" s="39">
        <v>57.143179965912267</v>
      </c>
      <c r="I29" s="39">
        <f>_xlfn.RANK.EQ($H29,$H$14:$H$29,0)</f>
        <v>3</v>
      </c>
      <c r="J29" s="40">
        <f>IF($I29&lt;=$D$44,$J$36,0)</f>
        <v>144096000</v>
      </c>
      <c r="K29" s="39">
        <v>7379</v>
      </c>
      <c r="L29" s="41">
        <f>$K29/$K$30</f>
        <v>0.12672597375832934</v>
      </c>
      <c r="M29" s="39">
        <f>$L29*$G$33</f>
        <v>1.2672597375832935E-2</v>
      </c>
      <c r="N29" s="39">
        <v>1874</v>
      </c>
      <c r="O29" s="41">
        <f>$N29/$N$30</f>
        <v>0.14125273234340846</v>
      </c>
      <c r="P29" s="39">
        <f>$O29*$G$34</f>
        <v>7.062636617170423E-2</v>
      </c>
      <c r="Q29" s="39">
        <v>3.9471176431992623</v>
      </c>
      <c r="R29" s="41">
        <f>$Q29/$Q$30</f>
        <v>6.5097402597402584E-2</v>
      </c>
      <c r="S29" s="39">
        <f>$R29*$G$35</f>
        <v>9.7646103896103873E-3</v>
      </c>
      <c r="T29" s="39">
        <v>21.905843707670098</v>
      </c>
      <c r="U29" s="41">
        <f>$T29/$T$30</f>
        <v>3.9250000294105337E-2</v>
      </c>
      <c r="V29" s="39">
        <f>$U29*$G$36</f>
        <v>9.8125000735263344E-3</v>
      </c>
      <c r="W29" s="39">
        <f t="shared" si="0"/>
        <v>0.10287607401067389</v>
      </c>
      <c r="X29" s="40">
        <f>ROUND(W29*$D$41,-3)</f>
        <v>11413560000</v>
      </c>
      <c r="Y29" s="40">
        <f t="shared" si="1"/>
        <v>12209655000</v>
      </c>
      <c r="Z29" s="23"/>
    </row>
    <row r="30" spans="1:31" x14ac:dyDescent="0.25">
      <c r="A30" s="51" t="s">
        <v>47</v>
      </c>
      <c r="B30" s="51"/>
      <c r="C30" s="51"/>
      <c r="D30" s="19">
        <f>SUM(D14:D29)</f>
        <v>10431984000</v>
      </c>
      <c r="E30" s="44"/>
      <c r="F30" s="44"/>
      <c r="G30" s="19">
        <f>SUM(G14:G29)</f>
        <v>181634000</v>
      </c>
      <c r="H30" s="43"/>
      <c r="I30" s="43"/>
      <c r="J30" s="19">
        <f>SUM(J14:J29)</f>
        <v>2305536000</v>
      </c>
      <c r="K30" s="18">
        <f>SUM(K14:K29)</f>
        <v>58228</v>
      </c>
      <c r="L30" s="18">
        <f>SUM(L14:L29)</f>
        <v>1</v>
      </c>
      <c r="M30" s="45">
        <f>SUM(M14:M29)</f>
        <v>0.1</v>
      </c>
      <c r="N30" s="18">
        <f>SUM(N14:N29)</f>
        <v>13267</v>
      </c>
      <c r="O30" s="18">
        <f>SUM(O14:O29)</f>
        <v>1.0000000000000002</v>
      </c>
      <c r="P30" s="20">
        <f>SUM(P14:P29)</f>
        <v>0.50000000000000011</v>
      </c>
      <c r="Q30" s="18">
        <f>SUM(Q14:Q29)</f>
        <v>60.634026638671969</v>
      </c>
      <c r="R30" s="18">
        <f>SUM(R14:R29)</f>
        <v>1</v>
      </c>
      <c r="S30" s="20">
        <f>SUM(S14:S29)</f>
        <v>0.14999999999999997</v>
      </c>
      <c r="T30" s="18">
        <f>SUM(T14:T29)</f>
        <v>558.11066352934449</v>
      </c>
      <c r="U30" s="18">
        <f>SUM(U14:U29)</f>
        <v>1.0000000000000002</v>
      </c>
      <c r="V30" s="18">
        <f>SUM(V14:V29)</f>
        <v>0.25000000000000006</v>
      </c>
      <c r="W30" s="18">
        <f>SUM(W14:W29)</f>
        <v>1</v>
      </c>
      <c r="X30" s="19">
        <f>SUM(X14:X29)</f>
        <v>110944748000</v>
      </c>
      <c r="Y30" s="19">
        <f>SUM(Y14:Y29)</f>
        <v>123863902000</v>
      </c>
      <c r="Z30" s="24"/>
    </row>
    <row r="31" spans="1:31" x14ac:dyDescent="0.25">
      <c r="AA31" s="26"/>
      <c r="AB31" s="27" t="s">
        <v>48</v>
      </c>
      <c r="AC31" s="27" t="s">
        <v>49</v>
      </c>
      <c r="AD31" s="27" t="s">
        <v>2</v>
      </c>
      <c r="AE31" s="27" t="s">
        <v>3</v>
      </c>
    </row>
    <row r="32" spans="1:31" hidden="1" x14ac:dyDescent="0.25">
      <c r="B32" s="52" t="s">
        <v>50</v>
      </c>
      <c r="C32" s="52"/>
      <c r="D32" s="52"/>
      <c r="F32" s="53" t="s">
        <v>17</v>
      </c>
      <c r="G32" s="54"/>
      <c r="H32" s="8"/>
      <c r="I32" s="55" t="s">
        <v>51</v>
      </c>
      <c r="J32" s="55"/>
      <c r="X32" s="9"/>
      <c r="AA32" s="27" t="s">
        <v>81</v>
      </c>
      <c r="AB32" s="28">
        <f>MAX(X14:X29)</f>
        <v>11413560000</v>
      </c>
      <c r="AC32" s="27">
        <f>MATCH(AB32,X14:X29,0)</f>
        <v>16</v>
      </c>
      <c r="AD32" s="27" t="str">
        <f>INDEX($B$14:$X$29,$AC32,1,1)</f>
        <v>Dempet</v>
      </c>
      <c r="AE32" s="27" t="str">
        <f>INDEX($B$14:$X$29,$AC32,2,1)</f>
        <v>Dempet</v>
      </c>
    </row>
    <row r="33" spans="1:31" hidden="1" x14ac:dyDescent="0.25">
      <c r="B33" s="48" t="s">
        <v>71</v>
      </c>
      <c r="C33" s="48"/>
      <c r="D33" s="26">
        <v>287089488000</v>
      </c>
      <c r="E33" s="10"/>
      <c r="F33" s="29" t="s">
        <v>52</v>
      </c>
      <c r="G33" s="29">
        <v>0.1</v>
      </c>
      <c r="H33" s="11"/>
      <c r="I33" s="30" t="s">
        <v>53</v>
      </c>
      <c r="J33" s="31">
        <v>662806000</v>
      </c>
      <c r="X33" s="9"/>
      <c r="AA33" s="27" t="s">
        <v>82</v>
      </c>
      <c r="AB33" s="28">
        <f>MIN(X14:X29)</f>
        <v>3719290000</v>
      </c>
      <c r="AC33" s="27">
        <f>MATCH(AB33,X14:X29,0)</f>
        <v>4</v>
      </c>
      <c r="AD33" s="27" t="str">
        <f>INDEX($B$14:$X$29,$AC33,1,1)</f>
        <v>Dempet</v>
      </c>
      <c r="AE33" s="27" t="str">
        <f>INDEX($B$14:$X$29,$AC33,2,1)</f>
        <v>Botosengon</v>
      </c>
    </row>
    <row r="34" spans="1:31" hidden="1" x14ac:dyDescent="0.25">
      <c r="B34" s="48" t="s">
        <v>72</v>
      </c>
      <c r="C34" s="48"/>
      <c r="D34" s="26">
        <f>Y30</f>
        <v>123863902000</v>
      </c>
      <c r="E34" s="10"/>
      <c r="F34" s="29" t="s">
        <v>54</v>
      </c>
      <c r="G34" s="29">
        <v>0.5</v>
      </c>
      <c r="H34" s="11"/>
      <c r="I34" s="30" t="s">
        <v>55</v>
      </c>
      <c r="J34" s="31">
        <v>181634000</v>
      </c>
      <c r="AA34" s="12"/>
      <c r="AB34" s="12"/>
      <c r="AC34" s="12"/>
      <c r="AD34" s="12"/>
      <c r="AE34" s="12"/>
    </row>
    <row r="35" spans="1:31" hidden="1" x14ac:dyDescent="0.25">
      <c r="B35" s="48" t="s">
        <v>73</v>
      </c>
      <c r="C35" s="48"/>
      <c r="D35" s="26">
        <v>161061858000</v>
      </c>
      <c r="E35" s="10"/>
      <c r="F35" s="29" t="s">
        <v>56</v>
      </c>
      <c r="G35" s="29">
        <v>0.15</v>
      </c>
      <c r="H35" s="13"/>
      <c r="I35" s="30" t="s">
        <v>57</v>
      </c>
      <c r="J35" s="31">
        <v>363269000</v>
      </c>
      <c r="AA35" s="12" t="s">
        <v>58</v>
      </c>
      <c r="AB35" s="12"/>
      <c r="AC35" s="12"/>
      <c r="AD35" s="12"/>
      <c r="AE35" s="12"/>
    </row>
    <row r="36" spans="1:31" hidden="1" x14ac:dyDescent="0.25">
      <c r="B36" s="48" t="s">
        <v>74</v>
      </c>
      <c r="C36" s="48"/>
      <c r="D36" s="26">
        <f>D30</f>
        <v>10431984000</v>
      </c>
      <c r="E36" s="10"/>
      <c r="F36" s="29" t="s">
        <v>14</v>
      </c>
      <c r="G36" s="29">
        <v>0.25</v>
      </c>
      <c r="H36" s="11"/>
      <c r="I36" s="30" t="s">
        <v>59</v>
      </c>
      <c r="J36" s="31">
        <v>144096000</v>
      </c>
      <c r="AA36" s="25" t="str">
        <f>B41</f>
        <v>Pagu Alokasi Formula Kab./Kota .........</v>
      </c>
      <c r="AB36" s="25"/>
      <c r="AC36" s="26">
        <f>D41</f>
        <v>110944749000</v>
      </c>
      <c r="AD36" s="12"/>
      <c r="AE36" s="12"/>
    </row>
    <row r="37" spans="1:31" hidden="1" x14ac:dyDescent="0.25">
      <c r="B37" s="48" t="s">
        <v>76</v>
      </c>
      <c r="C37" s="48"/>
      <c r="D37" s="26">
        <v>11624577000</v>
      </c>
      <c r="E37" s="10"/>
      <c r="AA37" s="25" t="str">
        <f>B42</f>
        <v>Hasil Hitung Alokasi Formula Kab./Kota .........</v>
      </c>
      <c r="AB37" s="25"/>
      <c r="AC37" s="26">
        <f>D42</f>
        <v>110944748000</v>
      </c>
      <c r="AD37" s="12"/>
      <c r="AE37" s="12"/>
    </row>
    <row r="38" spans="1:31" hidden="1" x14ac:dyDescent="0.25">
      <c r="B38" s="48" t="s">
        <v>78</v>
      </c>
      <c r="C38" s="48"/>
      <c r="D38" s="26">
        <f>G30</f>
        <v>181634000</v>
      </c>
      <c r="E38" s="10"/>
      <c r="AA38" s="25" t="s">
        <v>58</v>
      </c>
      <c r="AB38" s="25"/>
      <c r="AC38" s="26">
        <f>AC36-AC37</f>
        <v>1000</v>
      </c>
      <c r="AD38" s="12"/>
      <c r="AE38" s="12"/>
    </row>
    <row r="39" spans="1:31" hidden="1" x14ac:dyDescent="0.25">
      <c r="B39" s="48" t="s">
        <v>79</v>
      </c>
      <c r="C39" s="48"/>
      <c r="D39" s="26">
        <v>3458304000</v>
      </c>
      <c r="E39" s="10"/>
    </row>
    <row r="40" spans="1:31" hidden="1" x14ac:dyDescent="0.25">
      <c r="B40" s="48" t="s">
        <v>80</v>
      </c>
      <c r="C40" s="48"/>
      <c r="D40" s="26">
        <f>J30</f>
        <v>2305536000</v>
      </c>
      <c r="E40" s="10"/>
    </row>
    <row r="41" spans="1:31" hidden="1" x14ac:dyDescent="0.25">
      <c r="B41" s="48" t="s">
        <v>75</v>
      </c>
      <c r="C41" s="48"/>
      <c r="D41" s="26">
        <v>110944749000</v>
      </c>
      <c r="E41" s="10"/>
    </row>
    <row r="42" spans="1:31" hidden="1" x14ac:dyDescent="0.25">
      <c r="A42" s="14"/>
      <c r="B42" s="48" t="s">
        <v>77</v>
      </c>
      <c r="C42" s="48"/>
      <c r="D42" s="26">
        <f>X30</f>
        <v>110944748000</v>
      </c>
      <c r="E42" s="7"/>
      <c r="S42" t="s">
        <v>60</v>
      </c>
    </row>
    <row r="43" spans="1:31" hidden="1" x14ac:dyDescent="0.25">
      <c r="A43" s="14"/>
      <c r="B43" s="48" t="s">
        <v>61</v>
      </c>
      <c r="C43" s="48"/>
      <c r="D43" s="26">
        <v>243</v>
      </c>
      <c r="G43" s="49" t="s">
        <v>62</v>
      </c>
      <c r="H43" s="49"/>
      <c r="I43" s="49"/>
      <c r="J43" s="49"/>
      <c r="K43" s="49"/>
    </row>
    <row r="44" spans="1:31" hidden="1" x14ac:dyDescent="0.25">
      <c r="A44" s="14"/>
      <c r="B44" s="48" t="s">
        <v>63</v>
      </c>
      <c r="C44" s="48"/>
      <c r="D44" s="26">
        <v>24</v>
      </c>
    </row>
    <row r="45" spans="1:31" hidden="1" x14ac:dyDescent="0.25">
      <c r="A45" s="14"/>
      <c r="B45" s="14"/>
      <c r="C45" s="15"/>
      <c r="D45" s="15"/>
      <c r="F45" t="s">
        <v>64</v>
      </c>
      <c r="M45" t="s">
        <v>65</v>
      </c>
      <c r="S45" t="s">
        <v>66</v>
      </c>
    </row>
    <row r="46" spans="1:31" hidden="1" x14ac:dyDescent="0.25">
      <c r="A46" s="14"/>
      <c r="B46" s="14"/>
      <c r="C46" s="11"/>
      <c r="D46" s="16"/>
      <c r="F46" t="s">
        <v>67</v>
      </c>
      <c r="M46" t="s">
        <v>67</v>
      </c>
      <c r="S46" t="s">
        <v>68</v>
      </c>
    </row>
    <row r="47" spans="1:31" hidden="1" x14ac:dyDescent="0.25">
      <c r="A47" s="14"/>
      <c r="B47" s="14"/>
      <c r="C47" s="11"/>
      <c r="D47" s="16"/>
    </row>
    <row r="48" spans="1:31" hidden="1" x14ac:dyDescent="0.25">
      <c r="B48" s="14"/>
      <c r="C48" s="13"/>
      <c r="D48" s="16"/>
    </row>
    <row r="49" spans="2:23" hidden="1" x14ac:dyDescent="0.25">
      <c r="B49" s="14"/>
      <c r="C49" s="11"/>
      <c r="D49" s="17"/>
    </row>
    <row r="50" spans="2:23" hidden="1" x14ac:dyDescent="0.25">
      <c r="F50" t="s">
        <v>69</v>
      </c>
      <c r="M50" t="s">
        <v>69</v>
      </c>
      <c r="S50" t="s">
        <v>69</v>
      </c>
    </row>
    <row r="51" spans="2:23" hidden="1" x14ac:dyDescent="0.25">
      <c r="F51" t="s">
        <v>70</v>
      </c>
      <c r="M51" t="s">
        <v>70</v>
      </c>
      <c r="S51" t="s">
        <v>70</v>
      </c>
    </row>
    <row r="52" spans="2:23" hidden="1" x14ac:dyDescent="0.25"/>
    <row r="53" spans="2:23" hidden="1" x14ac:dyDescent="0.25"/>
    <row r="54" spans="2:23" hidden="1" x14ac:dyDescent="0.25"/>
    <row r="55" spans="2:23" hidden="1" x14ac:dyDescent="0.25"/>
    <row r="56" spans="2:23" hidden="1" x14ac:dyDescent="0.25"/>
    <row r="58" spans="2:23" x14ac:dyDescent="0.25">
      <c r="G58" s="46">
        <f>G30/64</f>
        <v>2838031.25</v>
      </c>
    </row>
    <row r="59" spans="2:23" x14ac:dyDescent="0.25">
      <c r="W59" s="42" t="s">
        <v>108</v>
      </c>
    </row>
    <row r="60" spans="2:23" x14ac:dyDescent="0.25">
      <c r="W60" s="42"/>
    </row>
    <row r="61" spans="2:23" x14ac:dyDescent="0.25">
      <c r="W61" s="42"/>
    </row>
    <row r="62" spans="2:23" x14ac:dyDescent="0.25">
      <c r="W62" s="42"/>
    </row>
    <row r="63" spans="2:23" x14ac:dyDescent="0.25">
      <c r="W63" s="42"/>
    </row>
    <row r="64" spans="2:23" x14ac:dyDescent="0.25">
      <c r="W64" s="42" t="s">
        <v>109</v>
      </c>
    </row>
  </sheetData>
  <autoFilter ref="A13:Y13" xr:uid="{00000000-0009-0000-0000-000000000000}"/>
  <mergeCells count="36">
    <mergeCell ref="Y10:Y12"/>
    <mergeCell ref="K11:M11"/>
    <mergeCell ref="N11:P11"/>
    <mergeCell ref="Q11:S11"/>
    <mergeCell ref="T11:V11"/>
    <mergeCell ref="W11:W12"/>
    <mergeCell ref="K10:X10"/>
    <mergeCell ref="A10:A12"/>
    <mergeCell ref="B10:B12"/>
    <mergeCell ref="C10:C12"/>
    <mergeCell ref="D10:D12"/>
    <mergeCell ref="E10:E12"/>
    <mergeCell ref="F10:F12"/>
    <mergeCell ref="B32:D32"/>
    <mergeCell ref="F32:G32"/>
    <mergeCell ref="I32:J32"/>
    <mergeCell ref="G10:G12"/>
    <mergeCell ref="H10:H12"/>
    <mergeCell ref="I10:I12"/>
    <mergeCell ref="J10:J12"/>
    <mergeCell ref="A8:Y8"/>
    <mergeCell ref="B44:C44"/>
    <mergeCell ref="B39:C39"/>
    <mergeCell ref="B40:C40"/>
    <mergeCell ref="B41:C41"/>
    <mergeCell ref="B42:C42"/>
    <mergeCell ref="B43:C43"/>
    <mergeCell ref="G43:K43"/>
    <mergeCell ref="B33:C33"/>
    <mergeCell ref="B34:C34"/>
    <mergeCell ref="B35:C35"/>
    <mergeCell ref="B36:C36"/>
    <mergeCell ref="B37:C37"/>
    <mergeCell ref="B38:C38"/>
    <mergeCell ref="X11:X12"/>
    <mergeCell ref="A30:C30"/>
  </mergeCells>
  <pageMargins left="0.7" right="0.7" top="0.75" bottom="0.75" header="0.3" footer="0.3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Lampiran I</vt:lpstr>
      <vt:lpstr>'Lampiran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Sidik Salman</dc:creator>
  <cp:lastModifiedBy>hp</cp:lastModifiedBy>
  <cp:lastPrinted>2020-01-17T03:02:56Z</cp:lastPrinted>
  <dcterms:created xsi:type="dcterms:W3CDTF">2019-10-04T04:16:32Z</dcterms:created>
  <dcterms:modified xsi:type="dcterms:W3CDTF">2021-11-25T02:43:32Z</dcterms:modified>
</cp:coreProperties>
</file>