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hidePivotFieldList="1" defaultThemeVersion="124226"/>
  <bookViews>
    <workbookView xWindow="-120" yWindow="-120" windowWidth="20730" windowHeight="11160" tabRatio="860" activeTab="1"/>
  </bookViews>
  <sheets>
    <sheet name="TOTAL KONTAK ERAT" sheetId="29" r:id="rId1"/>
    <sheet name="perdesa" sheetId="19" r:id="rId2"/>
    <sheet name="per kecamatan" sheetId="20" r:id="rId3"/>
    <sheet name="Sheet4" sheetId="24" state="hidden" r:id="rId4"/>
    <sheet name="Sheet2" sheetId="26" state="hidden" r:id="rId5"/>
    <sheet name="SEMUA KONTAK ERAT" sheetId="31" r:id="rId6"/>
    <sheet name="KONTAKERAT MASUK" sheetId="34" r:id="rId7"/>
    <sheet name="KONTAK ERAT KELUAR" sheetId="33" r:id="rId8"/>
    <sheet name="FORMAT KONTAK ERAT" sheetId="35" r:id="rId9"/>
  </sheets>
  <definedNames>
    <definedName name="_xlnm._FilterDatabase" localSheetId="6" hidden="1">'KONTAKERAT MASUK'!$A$2:$AE$291</definedName>
    <definedName name="_xlnm._FilterDatabase" localSheetId="1" hidden="1">perdesa!$B$4:$I$260</definedName>
    <definedName name="_xlnm._FilterDatabase" localSheetId="5" hidden="1">'SEMUA KONTAK ERAT'!#REF!</definedName>
    <definedName name="_xlnm._FilterDatabase" localSheetId="0" hidden="1">'TOTAL KONTAK ERAT'!#REF!</definedName>
    <definedName name="CZ">#REF!</definedName>
    <definedName name="_xlnm.Print_Area" localSheetId="1">perdesa!$B$1:$R$258</definedName>
    <definedName name="_xlnm.Print_Titles" localSheetId="1">perdesa!$5:$7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620" i="35" l="1"/>
  <c r="D619" i="35" l="1"/>
  <c r="D618" i="35"/>
  <c r="D617" i="35" l="1"/>
  <c r="D616" i="35" l="1"/>
  <c r="D615" i="35" l="1"/>
  <c r="D614" i="35" l="1"/>
  <c r="D613" i="35" l="1"/>
  <c r="D612" i="35" l="1"/>
  <c r="D611" i="35" l="1"/>
  <c r="D610" i="35" l="1"/>
  <c r="D609" i="35" l="1"/>
  <c r="D608" i="35" l="1"/>
  <c r="D607" i="35" l="1"/>
  <c r="D606" i="35" l="1"/>
  <c r="D605" i="35" l="1"/>
  <c r="D604" i="35" l="1"/>
  <c r="D603" i="35" l="1"/>
  <c r="D602" i="35" l="1"/>
  <c r="D601" i="35" l="1"/>
  <c r="D600" i="35" l="1"/>
  <c r="D599" i="35" l="1"/>
  <c r="D598" i="35" l="1"/>
  <c r="D597" i="35" l="1"/>
  <c r="D596" i="35" l="1"/>
  <c r="D595" i="35" l="1"/>
  <c r="D594" i="35" l="1"/>
  <c r="D593" i="35" l="1"/>
  <c r="D592" i="35" l="1"/>
  <c r="D591" i="35" l="1"/>
  <c r="D590" i="35" l="1"/>
  <c r="D589" i="35" l="1"/>
  <c r="D588" i="35" l="1"/>
  <c r="D587" i="35" l="1"/>
  <c r="D586" i="35" l="1"/>
  <c r="D585" i="35" l="1"/>
  <c r="D584" i="35" l="1"/>
  <c r="D583" i="35" l="1"/>
  <c r="D582" i="35" l="1"/>
  <c r="D581" i="35" l="1"/>
  <c r="D580" i="35" l="1"/>
  <c r="D579" i="35" l="1"/>
  <c r="D578" i="35" l="1"/>
  <c r="D577" i="35" l="1"/>
  <c r="D576" i="35" l="1"/>
  <c r="D575" i="35" l="1"/>
  <c r="D574" i="35" l="1"/>
  <c r="D573" i="35" l="1"/>
  <c r="D572" i="35" l="1"/>
  <c r="D571" i="35" l="1"/>
  <c r="D570" i="35" l="1"/>
  <c r="D569" i="35" l="1"/>
  <c r="D568" i="35" l="1"/>
  <c r="D567" i="35" l="1"/>
  <c r="D566" i="35" l="1"/>
  <c r="D565" i="35" l="1"/>
  <c r="D564" i="35" l="1"/>
  <c r="D563" i="35" l="1"/>
  <c r="D562" i="35" l="1"/>
  <c r="D560" i="35" l="1"/>
  <c r="D559" i="35" l="1"/>
  <c r="D558" i="35" l="1"/>
  <c r="D557" i="35" l="1"/>
  <c r="D556" i="35" l="1"/>
  <c r="D555" i="35" l="1"/>
  <c r="D554" i="35" l="1"/>
  <c r="D553" i="35" l="1"/>
  <c r="D552" i="35" l="1"/>
  <c r="D551" i="35" l="1"/>
  <c r="D550" i="35" l="1"/>
  <c r="D549" i="35" l="1"/>
  <c r="D548" i="35" l="1"/>
  <c r="D547" i="35" l="1"/>
  <c r="D546" i="35" l="1"/>
  <c r="D545" i="35" l="1"/>
  <c r="D544" i="35" l="1"/>
  <c r="D543" i="35" l="1"/>
  <c r="D542" i="35" l="1"/>
  <c r="D541" i="35" l="1"/>
  <c r="D540" i="35" l="1"/>
  <c r="F534" i="35" l="1"/>
  <c r="D534" i="35" l="1"/>
  <c r="F535" i="35"/>
  <c r="D533" i="35"/>
  <c r="D535" i="35" l="1"/>
  <c r="F536" i="35"/>
  <c r="D532" i="35"/>
  <c r="D536" i="35" l="1"/>
  <c r="F537" i="35"/>
  <c r="D46" i="35"/>
  <c r="D55" i="35"/>
  <c r="D56" i="35" s="1"/>
  <c r="D57" i="35" s="1"/>
  <c r="D62" i="35"/>
  <c r="D63" i="35" s="1"/>
  <c r="D65" i="35"/>
  <c r="D66" i="35" s="1"/>
  <c r="D67" i="35" s="1"/>
  <c r="D68" i="35" s="1"/>
  <c r="D69" i="35" s="1"/>
  <c r="D70" i="35" s="1"/>
  <c r="D71" i="35" s="1"/>
  <c r="D72" i="35" s="1"/>
  <c r="D73" i="35" s="1"/>
  <c r="D74" i="35" s="1"/>
  <c r="D75" i="35" s="1"/>
  <c r="D76" i="35" s="1"/>
  <c r="D77" i="35" s="1"/>
  <c r="D78" i="35" s="1"/>
  <c r="D79" i="35" s="1"/>
  <c r="D80" i="35" s="1"/>
  <c r="D81" i="35" s="1"/>
  <c r="D82" i="35" s="1"/>
  <c r="D83" i="35" s="1"/>
  <c r="D84" i="35" s="1"/>
  <c r="D85" i="35" s="1"/>
  <c r="D86" i="35" s="1"/>
  <c r="D87" i="35" s="1"/>
  <c r="D88" i="35" s="1"/>
  <c r="D89" i="35" s="1"/>
  <c r="D90" i="35" s="1"/>
  <c r="D91" i="35" s="1"/>
  <c r="D92" i="35" s="1"/>
  <c r="D93" i="35" s="1"/>
  <c r="D94" i="35" s="1"/>
  <c r="D95" i="35" s="1"/>
  <c r="D96" i="35" s="1"/>
  <c r="D97" i="35" s="1"/>
  <c r="D98" i="35" s="1"/>
  <c r="D99" i="35" s="1"/>
  <c r="D100" i="35" s="1"/>
  <c r="D101" i="35" s="1"/>
  <c r="D102" i="35" s="1"/>
  <c r="D103" i="35" s="1"/>
  <c r="D104" i="35" s="1"/>
  <c r="D105" i="35" s="1"/>
  <c r="D106" i="35" s="1"/>
  <c r="D107" i="35" s="1"/>
  <c r="D108" i="35" s="1"/>
  <c r="D109" i="35" s="1"/>
  <c r="D110" i="35" s="1"/>
  <c r="D111" i="35" s="1"/>
  <c r="D112" i="35" s="1"/>
  <c r="D113" i="35" s="1"/>
  <c r="D114" i="35" s="1"/>
  <c r="D115" i="35" s="1"/>
  <c r="D116" i="35" s="1"/>
  <c r="D117" i="35" s="1"/>
  <c r="D118" i="35" s="1"/>
  <c r="D119" i="35" s="1"/>
  <c r="D120" i="35" s="1"/>
  <c r="D121" i="35" s="1"/>
  <c r="D122" i="35" s="1"/>
  <c r="D123" i="35" s="1"/>
  <c r="D124" i="35" s="1"/>
  <c r="D125" i="35" s="1"/>
  <c r="D126" i="35" s="1"/>
  <c r="D127" i="35" s="1"/>
  <c r="D128" i="35" s="1"/>
  <c r="D129" i="35" s="1"/>
  <c r="D130" i="35" s="1"/>
  <c r="D131" i="35" s="1"/>
  <c r="D132" i="35" s="1"/>
  <c r="D133" i="35" s="1"/>
  <c r="D134" i="35" s="1"/>
  <c r="D135" i="35" s="1"/>
  <c r="D136" i="35" s="1"/>
  <c r="D137" i="35" s="1"/>
  <c r="D138" i="35" s="1"/>
  <c r="D139" i="35" s="1"/>
  <c r="D140" i="35" s="1"/>
  <c r="D141" i="35" s="1"/>
  <c r="D142" i="35" s="1"/>
  <c r="D143" i="35" s="1"/>
  <c r="D144" i="35" s="1"/>
  <c r="D145" i="35" s="1"/>
  <c r="D146" i="35" s="1"/>
  <c r="D147" i="35" s="1"/>
  <c r="D148" i="35" s="1"/>
  <c r="D149" i="35" s="1"/>
  <c r="D150" i="35" s="1"/>
  <c r="D151" i="35" s="1"/>
  <c r="D152" i="35" s="1"/>
  <c r="D153" i="35" s="1"/>
  <c r="D154" i="35" s="1"/>
  <c r="D155" i="35" s="1"/>
  <c r="D156" i="35" s="1"/>
  <c r="D157" i="35" s="1"/>
  <c r="D158" i="35" s="1"/>
  <c r="D159" i="35" s="1"/>
  <c r="D160" i="35" s="1"/>
  <c r="D161" i="35" s="1"/>
  <c r="D162" i="35" s="1"/>
  <c r="D163" i="35" s="1"/>
  <c r="D164" i="35" s="1"/>
  <c r="D165" i="35" s="1"/>
  <c r="D166" i="35" s="1"/>
  <c r="D167" i="35" s="1"/>
  <c r="D168" i="35" s="1"/>
  <c r="D169" i="35" s="1"/>
  <c r="D170" i="35" s="1"/>
  <c r="D171" i="35" s="1"/>
  <c r="D172" i="35" s="1"/>
  <c r="D173" i="35" s="1"/>
  <c r="D174" i="35" s="1"/>
  <c r="D175" i="35" s="1"/>
  <c r="D176" i="35" s="1"/>
  <c r="D177" i="35" s="1"/>
  <c r="D178" i="35" s="1"/>
  <c r="D179" i="35" s="1"/>
  <c r="D180" i="35" s="1"/>
  <c r="D181" i="35" s="1"/>
  <c r="D182" i="35" s="1"/>
  <c r="D183" i="35" s="1"/>
  <c r="D184" i="35" s="1"/>
  <c r="D185" i="35" s="1"/>
  <c r="D186" i="35" s="1"/>
  <c r="D187" i="35" s="1"/>
  <c r="D188" i="35" s="1"/>
  <c r="D189" i="35" s="1"/>
  <c r="D190" i="35" s="1"/>
  <c r="D191" i="35" s="1"/>
  <c r="D192" i="35" s="1"/>
  <c r="D193" i="35" s="1"/>
  <c r="D194" i="35" s="1"/>
  <c r="D195" i="35" s="1"/>
  <c r="D196" i="35" s="1"/>
  <c r="D197" i="35" s="1"/>
  <c r="D198" i="35" s="1"/>
  <c r="D199" i="35" s="1"/>
  <c r="D200" i="35" s="1"/>
  <c r="D201" i="35" s="1"/>
  <c r="D202" i="35" s="1"/>
  <c r="D203" i="35" s="1"/>
  <c r="D204" i="35" s="1"/>
  <c r="D205" i="35" s="1"/>
  <c r="D206" i="35" s="1"/>
  <c r="D207" i="35" s="1"/>
  <c r="D208" i="35" s="1"/>
  <c r="D209" i="35" s="1"/>
  <c r="D210" i="35" s="1"/>
  <c r="D211" i="35" s="1"/>
  <c r="D212" i="35" s="1"/>
  <c r="D213" i="35" s="1"/>
  <c r="D214" i="35" s="1"/>
  <c r="D215" i="35" s="1"/>
  <c r="D216" i="35" s="1"/>
  <c r="D217" i="35" s="1"/>
  <c r="D218" i="35" s="1"/>
  <c r="D219" i="35" s="1"/>
  <c r="D220" i="35" s="1"/>
  <c r="D221" i="35" s="1"/>
  <c r="D222" i="35" s="1"/>
  <c r="D223" i="35" s="1"/>
  <c r="D224" i="35" s="1"/>
  <c r="D225" i="35" s="1"/>
  <c r="D226" i="35" s="1"/>
  <c r="D227" i="35" s="1"/>
  <c r="D228" i="35" s="1"/>
  <c r="D229" i="35" s="1"/>
  <c r="D230" i="35" s="1"/>
  <c r="D231" i="35" s="1"/>
  <c r="D232" i="35" s="1"/>
  <c r="D233" i="35" s="1"/>
  <c r="D234" i="35" s="1"/>
  <c r="D235" i="35" s="1"/>
  <c r="D236" i="35" s="1"/>
  <c r="D237" i="35" s="1"/>
  <c r="D238" i="35" s="1"/>
  <c r="D239" i="35" s="1"/>
  <c r="D240" i="35" s="1"/>
  <c r="D241" i="35" s="1"/>
  <c r="D242" i="35" s="1"/>
  <c r="D243" i="35" s="1"/>
  <c r="D244" i="35" s="1"/>
  <c r="D245" i="35" s="1"/>
  <c r="D246" i="35" s="1"/>
  <c r="D247" i="35" s="1"/>
  <c r="D248" i="35" s="1"/>
  <c r="D249" i="35" s="1"/>
  <c r="D250" i="35" s="1"/>
  <c r="D251" i="35" s="1"/>
  <c r="D252" i="35" s="1"/>
  <c r="D253" i="35" s="1"/>
  <c r="D254" i="35" s="1"/>
  <c r="D255" i="35" s="1"/>
  <c r="D256" i="35" s="1"/>
  <c r="D257" i="35" s="1"/>
  <c r="D258" i="35" s="1"/>
  <c r="D259" i="35" s="1"/>
  <c r="D260" i="35" s="1"/>
  <c r="D261" i="35" s="1"/>
  <c r="D262" i="35" s="1"/>
  <c r="D263" i="35" s="1"/>
  <c r="D264" i="35" s="1"/>
  <c r="D265" i="35" s="1"/>
  <c r="D266" i="35" s="1"/>
  <c r="D267" i="35" s="1"/>
  <c r="D268" i="35" s="1"/>
  <c r="D269" i="35" s="1"/>
  <c r="D270" i="35" s="1"/>
  <c r="D271" i="35" s="1"/>
  <c r="D272" i="35" s="1"/>
  <c r="D273" i="35" s="1"/>
  <c r="D274" i="35" s="1"/>
  <c r="D275" i="35" s="1"/>
  <c r="D276" i="35" s="1"/>
  <c r="D277" i="35" s="1"/>
  <c r="D278" i="35" s="1"/>
  <c r="D279" i="35" s="1"/>
  <c r="D280" i="35" s="1"/>
  <c r="D281" i="35" s="1"/>
  <c r="D282" i="35" s="1"/>
  <c r="D283" i="35" s="1"/>
  <c r="D284" i="35" s="1"/>
  <c r="D285" i="35" s="1"/>
  <c r="D286" i="35" s="1"/>
  <c r="D287" i="35" s="1"/>
  <c r="D288" i="35" s="1"/>
  <c r="D289" i="35" s="1"/>
  <c r="D290" i="35" s="1"/>
  <c r="D291" i="35" s="1"/>
  <c r="D292" i="35" s="1"/>
  <c r="D293" i="35" s="1"/>
  <c r="D294" i="35" s="1"/>
  <c r="D295" i="35" s="1"/>
  <c r="D296" i="35" s="1"/>
  <c r="D297" i="35" s="1"/>
  <c r="D298" i="35" s="1"/>
  <c r="D299" i="35" s="1"/>
  <c r="D300" i="35" s="1"/>
  <c r="D301" i="35" s="1"/>
  <c r="D302" i="35" s="1"/>
  <c r="D303" i="35" s="1"/>
  <c r="D304" i="35" s="1"/>
  <c r="D305" i="35" s="1"/>
  <c r="D306" i="35" s="1"/>
  <c r="D307" i="35" s="1"/>
  <c r="D308" i="35" s="1"/>
  <c r="D309" i="35" s="1"/>
  <c r="D310" i="35" s="1"/>
  <c r="D311" i="35" s="1"/>
  <c r="D312" i="35" s="1"/>
  <c r="D313" i="35" s="1"/>
  <c r="D314" i="35" s="1"/>
  <c r="D315" i="35" s="1"/>
  <c r="D316" i="35" s="1"/>
  <c r="D317" i="35" s="1"/>
  <c r="D318" i="35" s="1"/>
  <c r="D319" i="35" s="1"/>
  <c r="D320" i="35" s="1"/>
  <c r="D321" i="35" s="1"/>
  <c r="D322" i="35" s="1"/>
  <c r="D323" i="35" s="1"/>
  <c r="D324" i="35" s="1"/>
  <c r="D325" i="35" s="1"/>
  <c r="D326" i="35" s="1"/>
  <c r="D327" i="35" s="1"/>
  <c r="D328" i="35" s="1"/>
  <c r="D329" i="35" s="1"/>
  <c r="D330" i="35" s="1"/>
  <c r="D331" i="35" s="1"/>
  <c r="D332" i="35" s="1"/>
  <c r="D333" i="35" s="1"/>
  <c r="D334" i="35" s="1"/>
  <c r="D335" i="35" s="1"/>
  <c r="D336" i="35" s="1"/>
  <c r="D337" i="35" s="1"/>
  <c r="D338" i="35" s="1"/>
  <c r="D339" i="35" s="1"/>
  <c r="D340" i="35" s="1"/>
  <c r="D341" i="35" s="1"/>
  <c r="D342" i="35" s="1"/>
  <c r="D343" i="35" s="1"/>
  <c r="D344" i="35" s="1"/>
  <c r="D345" i="35" s="1"/>
  <c r="D346" i="35" s="1"/>
  <c r="D347" i="35" s="1"/>
  <c r="D348" i="35" s="1"/>
  <c r="D349" i="35" s="1"/>
  <c r="D350" i="35" s="1"/>
  <c r="D351" i="35" s="1"/>
  <c r="D352" i="35" s="1"/>
  <c r="D353" i="35" s="1"/>
  <c r="D354" i="35" s="1"/>
  <c r="D355" i="35" s="1"/>
  <c r="D356" i="35" s="1"/>
  <c r="D357" i="35" s="1"/>
  <c r="D358" i="35" s="1"/>
  <c r="D359" i="35" s="1"/>
  <c r="D360" i="35" s="1"/>
  <c r="D361" i="35" s="1"/>
  <c r="D362" i="35" s="1"/>
  <c r="D363" i="35" s="1"/>
  <c r="D364" i="35" s="1"/>
  <c r="D365" i="35" s="1"/>
  <c r="D366" i="35" s="1"/>
  <c r="D367" i="35" s="1"/>
  <c r="D368" i="35" s="1"/>
  <c r="D369" i="35" s="1"/>
  <c r="D370" i="35" s="1"/>
  <c r="D371" i="35" s="1"/>
  <c r="D372" i="35" s="1"/>
  <c r="D373" i="35" s="1"/>
  <c r="D374" i="35" s="1"/>
  <c r="D375" i="35" s="1"/>
  <c r="D376" i="35" s="1"/>
  <c r="D377" i="35" s="1"/>
  <c r="D378" i="35" s="1"/>
  <c r="D379" i="35" s="1"/>
  <c r="D380" i="35" s="1"/>
  <c r="D381" i="35" s="1"/>
  <c r="D382" i="35" s="1"/>
  <c r="D383" i="35" s="1"/>
  <c r="D384" i="35" s="1"/>
  <c r="D385" i="35" s="1"/>
  <c r="D386" i="35" s="1"/>
  <c r="D387" i="35" s="1"/>
  <c r="D388" i="35" s="1"/>
  <c r="D389" i="35" s="1"/>
  <c r="D390" i="35" s="1"/>
  <c r="D391" i="35" s="1"/>
  <c r="D392" i="35" s="1"/>
  <c r="D393" i="35" s="1"/>
  <c r="D394" i="35" s="1"/>
  <c r="D395" i="35" s="1"/>
  <c r="D396" i="35" s="1"/>
  <c r="D397" i="35" s="1"/>
  <c r="D398" i="35" s="1"/>
  <c r="D399" i="35" s="1"/>
  <c r="D400" i="35" s="1"/>
  <c r="D401" i="35" s="1"/>
  <c r="D402" i="35" s="1"/>
  <c r="D403" i="35" s="1"/>
  <c r="D404" i="35" s="1"/>
  <c r="D405" i="35" s="1"/>
  <c r="D406" i="35" s="1"/>
  <c r="D407" i="35" s="1"/>
  <c r="D408" i="35" s="1"/>
  <c r="D409" i="35" s="1"/>
  <c r="D410" i="35" s="1"/>
  <c r="D411" i="35" s="1"/>
  <c r="D412" i="35" s="1"/>
  <c r="D413" i="35" s="1"/>
  <c r="D414" i="35" s="1"/>
  <c r="D415" i="35" s="1"/>
  <c r="D416" i="35" s="1"/>
  <c r="D417" i="35" s="1"/>
  <c r="D418" i="35" s="1"/>
  <c r="D419" i="35" s="1"/>
  <c r="D420" i="35" s="1"/>
  <c r="D421" i="35" s="1"/>
  <c r="D422" i="35" s="1"/>
  <c r="D423" i="35" s="1"/>
  <c r="D424" i="35" s="1"/>
  <c r="D425" i="35" s="1"/>
  <c r="D426" i="35" s="1"/>
  <c r="D427" i="35" s="1"/>
  <c r="D428" i="35" s="1"/>
  <c r="D429" i="35" s="1"/>
  <c r="D430" i="35" s="1"/>
  <c r="D431" i="35" s="1"/>
  <c r="D432" i="35" s="1"/>
  <c r="D433" i="35" s="1"/>
  <c r="D434" i="35" s="1"/>
  <c r="D435" i="35" s="1"/>
  <c r="D436" i="35" s="1"/>
  <c r="D437" i="35" s="1"/>
  <c r="D438" i="35" s="1"/>
  <c r="D439" i="35" s="1"/>
  <c r="D440" i="35" s="1"/>
  <c r="D441" i="35" s="1"/>
  <c r="D442" i="35" s="1"/>
  <c r="D443" i="35" s="1"/>
  <c r="D444" i="35" s="1"/>
  <c r="D445" i="35" s="1"/>
  <c r="D446" i="35" s="1"/>
  <c r="D447" i="35" s="1"/>
  <c r="D448" i="35" s="1"/>
  <c r="D449" i="35" s="1"/>
  <c r="D450" i="35" s="1"/>
  <c r="D451" i="35" s="1"/>
  <c r="D452" i="35" s="1"/>
  <c r="D453" i="35" s="1"/>
  <c r="D454" i="35" s="1"/>
  <c r="D455" i="35" s="1"/>
  <c r="D456" i="35" s="1"/>
  <c r="D457" i="35" s="1"/>
  <c r="D458" i="35" s="1"/>
  <c r="D459" i="35" s="1"/>
  <c r="D460" i="35" s="1"/>
  <c r="D461" i="35" s="1"/>
  <c r="D462" i="35" s="1"/>
  <c r="D463" i="35" s="1"/>
  <c r="D464" i="35" s="1"/>
  <c r="D465" i="35" s="1"/>
  <c r="D466" i="35" s="1"/>
  <c r="D467" i="35" s="1"/>
  <c r="D468" i="35" s="1"/>
  <c r="D469" i="35" s="1"/>
  <c r="D470" i="35" s="1"/>
  <c r="D471" i="35" s="1"/>
  <c r="D472" i="35" s="1"/>
  <c r="D473" i="35" s="1"/>
  <c r="D474" i="35" s="1"/>
  <c r="D475" i="35" s="1"/>
  <c r="D476" i="35" s="1"/>
  <c r="D477" i="35" s="1"/>
  <c r="D478" i="35" s="1"/>
  <c r="D479" i="35" s="1"/>
  <c r="D480" i="35" s="1"/>
  <c r="D481" i="35" s="1"/>
  <c r="D482" i="35" s="1"/>
  <c r="D483" i="35" s="1"/>
  <c r="D484" i="35" s="1"/>
  <c r="D485" i="35" s="1"/>
  <c r="D486" i="35" s="1"/>
  <c r="D487" i="35" s="1"/>
  <c r="D488" i="35" s="1"/>
  <c r="D489" i="35" s="1"/>
  <c r="D490" i="35" s="1"/>
  <c r="D491" i="35" s="1"/>
  <c r="D492" i="35" s="1"/>
  <c r="D493" i="35" s="1"/>
  <c r="D494" i="35" s="1"/>
  <c r="D495" i="35" s="1"/>
  <c r="D496" i="35" s="1"/>
  <c r="D497" i="35" s="1"/>
  <c r="D498" i="35" s="1"/>
  <c r="D499" i="35" s="1"/>
  <c r="D500" i="35" s="1"/>
  <c r="D501" i="35" s="1"/>
  <c r="D502" i="35" s="1"/>
  <c r="D503" i="35" s="1"/>
  <c r="D504" i="35" s="1"/>
  <c r="D505" i="35" s="1"/>
  <c r="D506" i="35" s="1"/>
  <c r="D507" i="35" s="1"/>
  <c r="D508" i="35" s="1"/>
  <c r="D509" i="35" s="1"/>
  <c r="D510" i="35" s="1"/>
  <c r="D511" i="35" s="1"/>
  <c r="D512" i="35" s="1"/>
  <c r="D513" i="35" s="1"/>
  <c r="D514" i="35" s="1"/>
  <c r="D515" i="35" s="1"/>
  <c r="D516" i="35" s="1"/>
  <c r="D517" i="35" s="1"/>
  <c r="D518" i="35" s="1"/>
  <c r="D519" i="35" s="1"/>
  <c r="D520" i="35" s="1"/>
  <c r="D521" i="35" s="1"/>
  <c r="D522" i="35" s="1"/>
  <c r="D523" i="35" s="1"/>
  <c r="D524" i="35" s="1"/>
  <c r="D525" i="35" s="1"/>
  <c r="D526" i="35" s="1"/>
  <c r="D527" i="35" s="1"/>
  <c r="D528" i="35" s="1"/>
  <c r="D529" i="35" s="1"/>
  <c r="D530" i="35" s="1"/>
  <c r="D537" i="35" l="1"/>
  <c r="F538" i="35"/>
  <c r="G64" i="35"/>
  <c r="G65" i="35" s="1"/>
  <c r="G66" i="35" s="1"/>
  <c r="G67" i="35" s="1"/>
  <c r="G68" i="35" s="1"/>
  <c r="G69" i="35" s="1"/>
  <c r="G70" i="35" s="1"/>
  <c r="G71" i="35" s="1"/>
  <c r="G72" i="35" s="1"/>
  <c r="G73" i="35" s="1"/>
  <c r="G74" i="35" s="1"/>
  <c r="G75" i="35" s="1"/>
  <c r="G76" i="35" s="1"/>
  <c r="G77" i="35" s="1"/>
  <c r="G78" i="35" s="1"/>
  <c r="G79" i="35" s="1"/>
  <c r="G80" i="35" s="1"/>
  <c r="G81" i="35" s="1"/>
  <c r="G82" i="35" s="1"/>
  <c r="G83" i="35" s="1"/>
  <c r="G84" i="35" s="1"/>
  <c r="G85" i="35" s="1"/>
  <c r="G86" i="35" s="1"/>
  <c r="G87" i="35" s="1"/>
  <c r="G88" i="35" s="1"/>
  <c r="G89" i="35" s="1"/>
  <c r="G90" i="35" s="1"/>
  <c r="G91" i="35" s="1"/>
  <c r="G92" i="35" s="1"/>
  <c r="G93" i="35" s="1"/>
  <c r="G94" i="35" s="1"/>
  <c r="G95" i="35" s="1"/>
  <c r="G96" i="35" s="1"/>
  <c r="G97" i="35" s="1"/>
  <c r="G98" i="35" s="1"/>
  <c r="G99" i="35" s="1"/>
  <c r="G100" i="35" s="1"/>
  <c r="G101" i="35" s="1"/>
  <c r="G102" i="35" s="1"/>
  <c r="G103" i="35" s="1"/>
  <c r="G104" i="35" s="1"/>
  <c r="G105" i="35" s="1"/>
  <c r="G106" i="35" s="1"/>
  <c r="G107" i="35" s="1"/>
  <c r="G108" i="35" s="1"/>
  <c r="G109" i="35" s="1"/>
  <c r="G110" i="35" s="1"/>
  <c r="G111" i="35" s="1"/>
  <c r="G112" i="35" s="1"/>
  <c r="G113" i="35" s="1"/>
  <c r="G114" i="35" s="1"/>
  <c r="G115" i="35" s="1"/>
  <c r="G116" i="35" s="1"/>
  <c r="G117" i="35" s="1"/>
  <c r="G118" i="35" s="1"/>
  <c r="G119" i="35" s="1"/>
  <c r="G120" i="35" s="1"/>
  <c r="G121" i="35" s="1"/>
  <c r="G122" i="35" s="1"/>
  <c r="G123" i="35" s="1"/>
  <c r="G124" i="35" s="1"/>
  <c r="G125" i="35" s="1"/>
  <c r="G126" i="35" s="1"/>
  <c r="G127" i="35" s="1"/>
  <c r="G128" i="35" s="1"/>
  <c r="G129" i="35" s="1"/>
  <c r="G130" i="35" s="1"/>
  <c r="G131" i="35" s="1"/>
  <c r="G132" i="35" s="1"/>
  <c r="G133" i="35" s="1"/>
  <c r="G134" i="35" s="1"/>
  <c r="G135" i="35" s="1"/>
  <c r="G136" i="35" s="1"/>
  <c r="G137" i="35" s="1"/>
  <c r="G138" i="35" s="1"/>
  <c r="G139" i="35" s="1"/>
  <c r="G140" i="35" s="1"/>
  <c r="G141" i="35" s="1"/>
  <c r="G142" i="35" s="1"/>
  <c r="G143" i="35" s="1"/>
  <c r="G144" i="35" s="1"/>
  <c r="G145" i="35" s="1"/>
  <c r="G146" i="35" s="1"/>
  <c r="G147" i="35" s="1"/>
  <c r="G148" i="35" s="1"/>
  <c r="G149" i="35" s="1"/>
  <c r="G150" i="35" s="1"/>
  <c r="G151" i="35" s="1"/>
  <c r="G152" i="35" s="1"/>
  <c r="G153" i="35" s="1"/>
  <c r="G154" i="35" s="1"/>
  <c r="G155" i="35" s="1"/>
  <c r="G156" i="35" s="1"/>
  <c r="G157" i="35" s="1"/>
  <c r="G158" i="35" s="1"/>
  <c r="G159" i="35" s="1"/>
  <c r="G160" i="35" s="1"/>
  <c r="G161" i="35" s="1"/>
  <c r="G162" i="35" s="1"/>
  <c r="G163" i="35" s="1"/>
  <c r="G164" i="35" s="1"/>
  <c r="G165" i="35" s="1"/>
  <c r="G166" i="35" s="1"/>
  <c r="G167" i="35" s="1"/>
  <c r="G168" i="35" s="1"/>
  <c r="G169" i="35" s="1"/>
  <c r="G170" i="35" s="1"/>
  <c r="G171" i="35" s="1"/>
  <c r="G172" i="35" s="1"/>
  <c r="G173" i="35" s="1"/>
  <c r="G174" i="35" s="1"/>
  <c r="G175" i="35" s="1"/>
  <c r="G176" i="35" s="1"/>
  <c r="G177" i="35" s="1"/>
  <c r="G178" i="35" s="1"/>
  <c r="G179" i="35" s="1"/>
  <c r="G180" i="35" s="1"/>
  <c r="G181" i="35" s="1"/>
  <c r="G182" i="35" s="1"/>
  <c r="G183" i="35" s="1"/>
  <c r="G184" i="35" s="1"/>
  <c r="G185" i="35" s="1"/>
  <c r="G186" i="35" s="1"/>
  <c r="G187" i="35" s="1"/>
  <c r="G188" i="35" s="1"/>
  <c r="G189" i="35" s="1"/>
  <c r="G190" i="35" s="1"/>
  <c r="G191" i="35" s="1"/>
  <c r="G192" i="35" s="1"/>
  <c r="G193" i="35" s="1"/>
  <c r="G194" i="35" s="1"/>
  <c r="G195" i="35" s="1"/>
  <c r="G196" i="35" s="1"/>
  <c r="G197" i="35" s="1"/>
  <c r="G198" i="35" s="1"/>
  <c r="G199" i="35" s="1"/>
  <c r="G200" i="35" s="1"/>
  <c r="G201" i="35" s="1"/>
  <c r="G202" i="35" s="1"/>
  <c r="G203" i="35" s="1"/>
  <c r="G204" i="35" s="1"/>
  <c r="G205" i="35" s="1"/>
  <c r="G206" i="35" s="1"/>
  <c r="G207" i="35" s="1"/>
  <c r="G208" i="35" s="1"/>
  <c r="G209" i="35" s="1"/>
  <c r="G210" i="35" s="1"/>
  <c r="G211" i="35" s="1"/>
  <c r="G212" i="35" s="1"/>
  <c r="G213" i="35" s="1"/>
  <c r="G214" i="35" s="1"/>
  <c r="G215" i="35" s="1"/>
  <c r="G216" i="35" s="1"/>
  <c r="G217" i="35" s="1"/>
  <c r="G218" i="35" s="1"/>
  <c r="G219" i="35" s="1"/>
  <c r="G220" i="35" s="1"/>
  <c r="G221" i="35" s="1"/>
  <c r="G222" i="35" s="1"/>
  <c r="G223" i="35" s="1"/>
  <c r="G224" i="35" s="1"/>
  <c r="G225" i="35" s="1"/>
  <c r="G226" i="35" s="1"/>
  <c r="G227" i="35" s="1"/>
  <c r="G228" i="35" s="1"/>
  <c r="G229" i="35" s="1"/>
  <c r="G230" i="35" s="1"/>
  <c r="G231" i="35" s="1"/>
  <c r="G232" i="35" s="1"/>
  <c r="G233" i="35" s="1"/>
  <c r="G234" i="35" s="1"/>
  <c r="G235" i="35" s="1"/>
  <c r="G236" i="35" s="1"/>
  <c r="G237" i="35" s="1"/>
  <c r="G238" i="35" s="1"/>
  <c r="G239" i="35" s="1"/>
  <c r="G240" i="35" s="1"/>
  <c r="G241" i="35" s="1"/>
  <c r="G242" i="35" s="1"/>
  <c r="G243" i="35" s="1"/>
  <c r="G244" i="35" s="1"/>
  <c r="G245" i="35" s="1"/>
  <c r="G246" i="35" s="1"/>
  <c r="G247" i="35" s="1"/>
  <c r="G248" i="35" s="1"/>
  <c r="G249" i="35" s="1"/>
  <c r="G250" i="35" s="1"/>
  <c r="G251" i="35" s="1"/>
  <c r="G252" i="35" s="1"/>
  <c r="G253" i="35" s="1"/>
  <c r="G254" i="35" s="1"/>
  <c r="G255" i="35" s="1"/>
  <c r="G256" i="35" s="1"/>
  <c r="G257" i="35" s="1"/>
  <c r="G258" i="35" s="1"/>
  <c r="G259" i="35" s="1"/>
  <c r="G260" i="35" s="1"/>
  <c r="G261" i="35" s="1"/>
  <c r="G262" i="35" s="1"/>
  <c r="G263" i="35" s="1"/>
  <c r="G264" i="35" s="1"/>
  <c r="G265" i="35" s="1"/>
  <c r="G266" i="35" s="1"/>
  <c r="G267" i="35" s="1"/>
  <c r="G268" i="35" s="1"/>
  <c r="G269" i="35" s="1"/>
  <c r="G270" i="35" s="1"/>
  <c r="G271" i="35" s="1"/>
  <c r="G272" i="35" s="1"/>
  <c r="G273" i="35" s="1"/>
  <c r="G274" i="35" s="1"/>
  <c r="G275" i="35" s="1"/>
  <c r="G276" i="35" s="1"/>
  <c r="G277" i="35" s="1"/>
  <c r="G278" i="35" s="1"/>
  <c r="G279" i="35" s="1"/>
  <c r="G280" i="35" s="1"/>
  <c r="G281" i="35" s="1"/>
  <c r="G282" i="35" s="1"/>
  <c r="G283" i="35" s="1"/>
  <c r="G284" i="35" s="1"/>
  <c r="G285" i="35" s="1"/>
  <c r="G286" i="35" s="1"/>
  <c r="G287" i="35" s="1"/>
  <c r="G288" i="35" s="1"/>
  <c r="G289" i="35" s="1"/>
  <c r="G290" i="35" s="1"/>
  <c r="G291" i="35" s="1"/>
  <c r="G292" i="35" s="1"/>
  <c r="G293" i="35" s="1"/>
  <c r="G294" i="35" s="1"/>
  <c r="G295" i="35" s="1"/>
  <c r="G296" i="35" s="1"/>
  <c r="G297" i="35" s="1"/>
  <c r="G298" i="35" s="1"/>
  <c r="G299" i="35" s="1"/>
  <c r="G300" i="35" s="1"/>
  <c r="G301" i="35" s="1"/>
  <c r="G302" i="35" s="1"/>
  <c r="G303" i="35" s="1"/>
  <c r="G304" i="35" s="1"/>
  <c r="G305" i="35" s="1"/>
  <c r="G306" i="35" s="1"/>
  <c r="G307" i="35" s="1"/>
  <c r="G308" i="35" s="1"/>
  <c r="G309" i="35" s="1"/>
  <c r="G310" i="35" s="1"/>
  <c r="G311" i="35" s="1"/>
  <c r="G312" i="35" s="1"/>
  <c r="G313" i="35" s="1"/>
  <c r="G314" i="35" s="1"/>
  <c r="G315" i="35" s="1"/>
  <c r="G316" i="35" s="1"/>
  <c r="G317" i="35" s="1"/>
  <c r="G318" i="35" s="1"/>
  <c r="G319" i="35" s="1"/>
  <c r="G320" i="35" s="1"/>
  <c r="G321" i="35" s="1"/>
  <c r="G322" i="35" s="1"/>
  <c r="G323" i="35" s="1"/>
  <c r="G324" i="35" s="1"/>
  <c r="G325" i="35" s="1"/>
  <c r="G326" i="35" s="1"/>
  <c r="G327" i="35" s="1"/>
  <c r="G328" i="35" s="1"/>
  <c r="G329" i="35" s="1"/>
  <c r="G330" i="35" s="1"/>
  <c r="G331" i="35" s="1"/>
  <c r="G332" i="35" s="1"/>
  <c r="G333" i="35" s="1"/>
  <c r="G334" i="35" s="1"/>
  <c r="G335" i="35" s="1"/>
  <c r="G336" i="35" s="1"/>
  <c r="G337" i="35" s="1"/>
  <c r="G338" i="35" s="1"/>
  <c r="G339" i="35" s="1"/>
  <c r="G340" i="35" s="1"/>
  <c r="G341" i="35" s="1"/>
  <c r="G342" i="35" s="1"/>
  <c r="G343" i="35" s="1"/>
  <c r="G344" i="35" s="1"/>
  <c r="G345" i="35" s="1"/>
  <c r="G346" i="35" s="1"/>
  <c r="G347" i="35" s="1"/>
  <c r="G348" i="35" s="1"/>
  <c r="G349" i="35" s="1"/>
  <c r="G350" i="35" s="1"/>
  <c r="G351" i="35" s="1"/>
  <c r="G352" i="35" s="1"/>
  <c r="G353" i="35" s="1"/>
  <c r="G354" i="35" s="1"/>
  <c r="G355" i="35" s="1"/>
  <c r="G356" i="35" s="1"/>
  <c r="G357" i="35" s="1"/>
  <c r="G358" i="35" s="1"/>
  <c r="G359" i="35" s="1"/>
  <c r="G360" i="35" s="1"/>
  <c r="G361" i="35" s="1"/>
  <c r="G362" i="35" s="1"/>
  <c r="G363" i="35" s="1"/>
  <c r="G364" i="35" s="1"/>
  <c r="G365" i="35" s="1"/>
  <c r="G366" i="35" s="1"/>
  <c r="G367" i="35" s="1"/>
  <c r="G368" i="35" s="1"/>
  <c r="G369" i="35" s="1"/>
  <c r="G370" i="35" s="1"/>
  <c r="G371" i="35" s="1"/>
  <c r="G372" i="35" s="1"/>
  <c r="G373" i="35" s="1"/>
  <c r="G374" i="35" s="1"/>
  <c r="G375" i="35" s="1"/>
  <c r="G376" i="35" s="1"/>
  <c r="G377" i="35" s="1"/>
  <c r="G378" i="35" s="1"/>
  <c r="G379" i="35" s="1"/>
  <c r="G380" i="35" s="1"/>
  <c r="G381" i="35" s="1"/>
  <c r="G382" i="35" s="1"/>
  <c r="G383" i="35" s="1"/>
  <c r="G384" i="35" s="1"/>
  <c r="G385" i="35" s="1"/>
  <c r="G386" i="35" s="1"/>
  <c r="G387" i="35" s="1"/>
  <c r="G388" i="35" s="1"/>
  <c r="G389" i="35" s="1"/>
  <c r="G390" i="35" s="1"/>
  <c r="G391" i="35" s="1"/>
  <c r="G392" i="35" s="1"/>
  <c r="G393" i="35" s="1"/>
  <c r="G394" i="35" s="1"/>
  <c r="G395" i="35" s="1"/>
  <c r="G396" i="35" s="1"/>
  <c r="G397" i="35" s="1"/>
  <c r="G398" i="35" s="1"/>
  <c r="G399" i="35" s="1"/>
  <c r="G400" i="35" s="1"/>
  <c r="G401" i="35" s="1"/>
  <c r="G402" i="35" s="1"/>
  <c r="G403" i="35" s="1"/>
  <c r="G404" i="35" s="1"/>
  <c r="G405" i="35" s="1"/>
  <c r="G406" i="35" s="1"/>
  <c r="G407" i="35" s="1"/>
  <c r="G408" i="35" s="1"/>
  <c r="G409" i="35" s="1"/>
  <c r="G410" i="35" s="1"/>
  <c r="G411" i="35" s="1"/>
  <c r="G412" i="35" s="1"/>
  <c r="G413" i="35" s="1"/>
  <c r="G414" i="35" s="1"/>
  <c r="G415" i="35" s="1"/>
  <c r="G416" i="35" s="1"/>
  <c r="G417" i="35" s="1"/>
  <c r="G418" i="35" s="1"/>
  <c r="G419" i="35" s="1"/>
  <c r="G420" i="35" s="1"/>
  <c r="G421" i="35" s="1"/>
  <c r="G422" i="35" s="1"/>
  <c r="G423" i="35" s="1"/>
  <c r="G424" i="35" s="1"/>
  <c r="G425" i="35" s="1"/>
  <c r="G426" i="35" s="1"/>
  <c r="G427" i="35" s="1"/>
  <c r="G428" i="35" s="1"/>
  <c r="G429" i="35" s="1"/>
  <c r="G430" i="35" s="1"/>
  <c r="G431" i="35" s="1"/>
  <c r="G432" i="35" s="1"/>
  <c r="G433" i="35" s="1"/>
  <c r="G434" i="35" s="1"/>
  <c r="G435" i="35" s="1"/>
  <c r="G436" i="35" s="1"/>
  <c r="G437" i="35" s="1"/>
  <c r="G438" i="35" s="1"/>
  <c r="G439" i="35" s="1"/>
  <c r="G440" i="35" s="1"/>
  <c r="G441" i="35" s="1"/>
  <c r="G442" i="35" s="1"/>
  <c r="G443" i="35" s="1"/>
  <c r="G444" i="35" s="1"/>
  <c r="G445" i="35" s="1"/>
  <c r="G446" i="35" s="1"/>
  <c r="G447" i="35" s="1"/>
  <c r="G448" i="35" s="1"/>
  <c r="G449" i="35" s="1"/>
  <c r="G450" i="35" s="1"/>
  <c r="G451" i="35" s="1"/>
  <c r="G452" i="35" s="1"/>
  <c r="G453" i="35" s="1"/>
  <c r="G454" i="35" s="1"/>
  <c r="G455" i="35" s="1"/>
  <c r="G456" i="35" s="1"/>
  <c r="G457" i="35" s="1"/>
  <c r="G458" i="35" s="1"/>
  <c r="G459" i="35" s="1"/>
  <c r="G460" i="35" s="1"/>
  <c r="G461" i="35" s="1"/>
  <c r="G462" i="35" s="1"/>
  <c r="G463" i="35" s="1"/>
  <c r="G464" i="35" s="1"/>
  <c r="G465" i="35" s="1"/>
  <c r="G466" i="35" s="1"/>
  <c r="G467" i="35" s="1"/>
  <c r="G468" i="35" s="1"/>
  <c r="G469" i="35" s="1"/>
  <c r="G470" i="35" s="1"/>
  <c r="G471" i="35" s="1"/>
  <c r="G472" i="35" s="1"/>
  <c r="G473" i="35" s="1"/>
  <c r="G474" i="35" s="1"/>
  <c r="G475" i="35" s="1"/>
  <c r="G476" i="35" s="1"/>
  <c r="G477" i="35" s="1"/>
  <c r="G478" i="35" s="1"/>
  <c r="G479" i="35" s="1"/>
  <c r="G480" i="35" s="1"/>
  <c r="G481" i="35" s="1"/>
  <c r="G482" i="35" s="1"/>
  <c r="G483" i="35" s="1"/>
  <c r="G484" i="35" s="1"/>
  <c r="G485" i="35" s="1"/>
  <c r="G486" i="35" s="1"/>
  <c r="G487" i="35" s="1"/>
  <c r="G488" i="35" s="1"/>
  <c r="G489" i="35" s="1"/>
  <c r="G490" i="35" s="1"/>
  <c r="G491" i="35" s="1"/>
  <c r="G492" i="35" s="1"/>
  <c r="G493" i="35" s="1"/>
  <c r="G494" i="35" s="1"/>
  <c r="G495" i="35" s="1"/>
  <c r="G496" i="35" s="1"/>
  <c r="G497" i="35" s="1"/>
  <c r="G498" i="35" s="1"/>
  <c r="G499" i="35" s="1"/>
  <c r="G500" i="35" s="1"/>
  <c r="G501" i="35" s="1"/>
  <c r="G502" i="35" s="1"/>
  <c r="G503" i="35" s="1"/>
  <c r="G504" i="35" s="1"/>
  <c r="G505" i="35" s="1"/>
  <c r="G506" i="35" s="1"/>
  <c r="G507" i="35" s="1"/>
  <c r="G508" i="35" s="1"/>
  <c r="G509" i="35" s="1"/>
  <c r="G510" i="35" s="1"/>
  <c r="G511" i="35" s="1"/>
  <c r="G512" i="35" s="1"/>
  <c r="G513" i="35" s="1"/>
  <c r="G514" i="35" s="1"/>
  <c r="G515" i="35" s="1"/>
  <c r="G516" i="35" s="1"/>
  <c r="G517" i="35" s="1"/>
  <c r="G518" i="35" s="1"/>
  <c r="G519" i="35" s="1"/>
  <c r="G520" i="35" s="1"/>
  <c r="G521" i="35" s="1"/>
  <c r="G522" i="35" s="1"/>
  <c r="G523" i="35" s="1"/>
  <c r="G524" i="35" s="1"/>
  <c r="G525" i="35" s="1"/>
  <c r="G526" i="35" s="1"/>
  <c r="G527" i="35" s="1"/>
  <c r="G528" i="35" s="1"/>
  <c r="G529" i="35" s="1"/>
  <c r="G530" i="35" s="1"/>
  <c r="G62" i="35"/>
  <c r="F62" i="35"/>
  <c r="F63" i="35" s="1"/>
  <c r="F64" i="35" s="1"/>
  <c r="F65" i="35" s="1"/>
  <c r="F66" i="35" s="1"/>
  <c r="F67" i="35" s="1"/>
  <c r="F68" i="35" s="1"/>
  <c r="F69" i="35" s="1"/>
  <c r="F70" i="35" s="1"/>
  <c r="F71" i="35" s="1"/>
  <c r="F72" i="35" s="1"/>
  <c r="F73" i="35" s="1"/>
  <c r="F74" i="35" s="1"/>
  <c r="F75" i="35" s="1"/>
  <c r="F76" i="35" s="1"/>
  <c r="F77" i="35" s="1"/>
  <c r="F78" i="35" s="1"/>
  <c r="F79" i="35" s="1"/>
  <c r="F80" i="35" s="1"/>
  <c r="F81" i="35" s="1"/>
  <c r="F82" i="35" s="1"/>
  <c r="F83" i="35" s="1"/>
  <c r="F84" i="35" s="1"/>
  <c r="F85" i="35" s="1"/>
  <c r="F86" i="35" s="1"/>
  <c r="F87" i="35" s="1"/>
  <c r="F88" i="35" s="1"/>
  <c r="F89" i="35" s="1"/>
  <c r="F90" i="35" s="1"/>
  <c r="F91" i="35" s="1"/>
  <c r="F92" i="35" s="1"/>
  <c r="F93" i="35" s="1"/>
  <c r="F94" i="35" s="1"/>
  <c r="F95" i="35" s="1"/>
  <c r="F96" i="35" s="1"/>
  <c r="F97" i="35" s="1"/>
  <c r="F98" i="35" s="1"/>
  <c r="F99" i="35" s="1"/>
  <c r="F100" i="35" s="1"/>
  <c r="F101" i="35" s="1"/>
  <c r="F102" i="35" s="1"/>
  <c r="F103" i="35" s="1"/>
  <c r="F104" i="35" s="1"/>
  <c r="F105" i="35" s="1"/>
  <c r="F106" i="35" s="1"/>
  <c r="F107" i="35" s="1"/>
  <c r="F108" i="35" s="1"/>
  <c r="F109" i="35" s="1"/>
  <c r="F110" i="35" s="1"/>
  <c r="F111" i="35" s="1"/>
  <c r="F112" i="35" s="1"/>
  <c r="F113" i="35" s="1"/>
  <c r="F114" i="35" s="1"/>
  <c r="F115" i="35" s="1"/>
  <c r="F116" i="35" s="1"/>
  <c r="F117" i="35" s="1"/>
  <c r="F118" i="35" s="1"/>
  <c r="F119" i="35" s="1"/>
  <c r="F120" i="35" s="1"/>
  <c r="F121" i="35" s="1"/>
  <c r="F122" i="35" s="1"/>
  <c r="F123" i="35" s="1"/>
  <c r="F124" i="35" s="1"/>
  <c r="F125" i="35" s="1"/>
  <c r="F126" i="35" s="1"/>
  <c r="F127" i="35" s="1"/>
  <c r="F128" i="35" s="1"/>
  <c r="F129" i="35" s="1"/>
  <c r="F130" i="35" s="1"/>
  <c r="F131" i="35" s="1"/>
  <c r="F132" i="35" s="1"/>
  <c r="F133" i="35" s="1"/>
  <c r="F134" i="35" s="1"/>
  <c r="F135" i="35" s="1"/>
  <c r="F136" i="35" s="1"/>
  <c r="F137" i="35" s="1"/>
  <c r="F138" i="35" s="1"/>
  <c r="F139" i="35" s="1"/>
  <c r="F140" i="35" s="1"/>
  <c r="F141" i="35" s="1"/>
  <c r="F142" i="35" s="1"/>
  <c r="F143" i="35" s="1"/>
  <c r="F144" i="35" s="1"/>
  <c r="F145" i="35" s="1"/>
  <c r="F146" i="35" s="1"/>
  <c r="F147" i="35" s="1"/>
  <c r="F148" i="35" s="1"/>
  <c r="F149" i="35" s="1"/>
  <c r="F150" i="35" s="1"/>
  <c r="F151" i="35" s="1"/>
  <c r="F152" i="35" s="1"/>
  <c r="F153" i="35" s="1"/>
  <c r="F154" i="35" s="1"/>
  <c r="F155" i="35" s="1"/>
  <c r="F156" i="35" s="1"/>
  <c r="F157" i="35" s="1"/>
  <c r="F158" i="35" s="1"/>
  <c r="F159" i="35" s="1"/>
  <c r="F160" i="35" s="1"/>
  <c r="F161" i="35" s="1"/>
  <c r="F162" i="35" s="1"/>
  <c r="F163" i="35" s="1"/>
  <c r="F164" i="35" s="1"/>
  <c r="F165" i="35" s="1"/>
  <c r="F166" i="35" s="1"/>
  <c r="F167" i="35" s="1"/>
  <c r="F168" i="35" s="1"/>
  <c r="F169" i="35" s="1"/>
  <c r="F170" i="35" s="1"/>
  <c r="F171" i="35" s="1"/>
  <c r="F172" i="35" s="1"/>
  <c r="F173" i="35" s="1"/>
  <c r="F174" i="35" s="1"/>
  <c r="F175" i="35" s="1"/>
  <c r="F176" i="35" s="1"/>
  <c r="F177" i="35" s="1"/>
  <c r="F178" i="35" s="1"/>
  <c r="F179" i="35" s="1"/>
  <c r="F180" i="35" s="1"/>
  <c r="F181" i="35" s="1"/>
  <c r="F182" i="35" s="1"/>
  <c r="F183" i="35" s="1"/>
  <c r="F184" i="35" s="1"/>
  <c r="F185" i="35" s="1"/>
  <c r="F186" i="35" s="1"/>
  <c r="F187" i="35" s="1"/>
  <c r="F188" i="35" s="1"/>
  <c r="F189" i="35" s="1"/>
  <c r="F190" i="35" s="1"/>
  <c r="F191" i="35" s="1"/>
  <c r="F192" i="35" s="1"/>
  <c r="F193" i="35" s="1"/>
  <c r="F194" i="35" s="1"/>
  <c r="F195" i="35" s="1"/>
  <c r="F196" i="35" s="1"/>
  <c r="F197" i="35" s="1"/>
  <c r="F198" i="35" s="1"/>
  <c r="F199" i="35" s="1"/>
  <c r="F200" i="35" s="1"/>
  <c r="F201" i="35" s="1"/>
  <c r="F202" i="35" s="1"/>
  <c r="F203" i="35" s="1"/>
  <c r="F204" i="35" s="1"/>
  <c r="F205" i="35" s="1"/>
  <c r="F206" i="35" s="1"/>
  <c r="F207" i="35" s="1"/>
  <c r="F208" i="35" s="1"/>
  <c r="F209" i="35" s="1"/>
  <c r="F210" i="35" s="1"/>
  <c r="F211" i="35" s="1"/>
  <c r="F212" i="35" s="1"/>
  <c r="F213" i="35" s="1"/>
  <c r="F214" i="35" s="1"/>
  <c r="F215" i="35" s="1"/>
  <c r="F216" i="35" s="1"/>
  <c r="F217" i="35" s="1"/>
  <c r="F218" i="35" s="1"/>
  <c r="F219" i="35" s="1"/>
  <c r="F220" i="35" s="1"/>
  <c r="F221" i="35" s="1"/>
  <c r="F222" i="35" s="1"/>
  <c r="F223" i="35" s="1"/>
  <c r="F224" i="35" s="1"/>
  <c r="F225" i="35" s="1"/>
  <c r="F226" i="35" s="1"/>
  <c r="F227" i="35" s="1"/>
  <c r="F228" i="35" s="1"/>
  <c r="F229" i="35" s="1"/>
  <c r="F230" i="35" s="1"/>
  <c r="F231" i="35" s="1"/>
  <c r="F232" i="35" s="1"/>
  <c r="F233" i="35" s="1"/>
  <c r="F234" i="35" s="1"/>
  <c r="F235" i="35" s="1"/>
  <c r="F236" i="35" s="1"/>
  <c r="F237" i="35" s="1"/>
  <c r="F238" i="35" s="1"/>
  <c r="F239" i="35" s="1"/>
  <c r="F240" i="35" s="1"/>
  <c r="F241" i="35" s="1"/>
  <c r="F242" i="35" s="1"/>
  <c r="F243" i="35" s="1"/>
  <c r="F244" i="35" s="1"/>
  <c r="F245" i="35" s="1"/>
  <c r="F246" i="35" s="1"/>
  <c r="F247" i="35" s="1"/>
  <c r="F248" i="35" s="1"/>
  <c r="F249" i="35" s="1"/>
  <c r="F250" i="35" s="1"/>
  <c r="F251" i="35" s="1"/>
  <c r="F252" i="35" s="1"/>
  <c r="F253" i="35" s="1"/>
  <c r="F254" i="35" s="1"/>
  <c r="F255" i="35" s="1"/>
  <c r="F256" i="35" s="1"/>
  <c r="F257" i="35" s="1"/>
  <c r="F258" i="35" s="1"/>
  <c r="F259" i="35" s="1"/>
  <c r="F260" i="35" s="1"/>
  <c r="F261" i="35" s="1"/>
  <c r="F262" i="35" s="1"/>
  <c r="F263" i="35" s="1"/>
  <c r="F264" i="35" s="1"/>
  <c r="F265" i="35" s="1"/>
  <c r="F266" i="35" s="1"/>
  <c r="F267" i="35" s="1"/>
  <c r="F268" i="35" s="1"/>
  <c r="F269" i="35" s="1"/>
  <c r="F270" i="35" s="1"/>
  <c r="F271" i="35" s="1"/>
  <c r="F272" i="35" s="1"/>
  <c r="F273" i="35" s="1"/>
  <c r="F274" i="35" s="1"/>
  <c r="F275" i="35" s="1"/>
  <c r="F276" i="35" s="1"/>
  <c r="F277" i="35" s="1"/>
  <c r="F278" i="35" s="1"/>
  <c r="F279" i="35" s="1"/>
  <c r="F280" i="35" s="1"/>
  <c r="F281" i="35" s="1"/>
  <c r="F282" i="35" s="1"/>
  <c r="F283" i="35" s="1"/>
  <c r="F284" i="35" s="1"/>
  <c r="F285" i="35" s="1"/>
  <c r="F286" i="35" s="1"/>
  <c r="F287" i="35" s="1"/>
  <c r="F288" i="35" s="1"/>
  <c r="F289" i="35" s="1"/>
  <c r="F290" i="35" s="1"/>
  <c r="F291" i="35" s="1"/>
  <c r="F292" i="35" s="1"/>
  <c r="F293" i="35" s="1"/>
  <c r="F294" i="35" s="1"/>
  <c r="F295" i="35" s="1"/>
  <c r="F296" i="35" s="1"/>
  <c r="F297" i="35" s="1"/>
  <c r="F298" i="35" s="1"/>
  <c r="F299" i="35" s="1"/>
  <c r="F300" i="35" s="1"/>
  <c r="F301" i="35" s="1"/>
  <c r="F302" i="35" s="1"/>
  <c r="F303" i="35" s="1"/>
  <c r="F304" i="35" s="1"/>
  <c r="F305" i="35" s="1"/>
  <c r="F306" i="35" s="1"/>
  <c r="F307" i="35" s="1"/>
  <c r="F308" i="35" s="1"/>
  <c r="F309" i="35" s="1"/>
  <c r="F310" i="35" s="1"/>
  <c r="F311" i="35" s="1"/>
  <c r="F312" i="35" s="1"/>
  <c r="F313" i="35" s="1"/>
  <c r="F314" i="35" s="1"/>
  <c r="F315" i="35" s="1"/>
  <c r="F316" i="35" s="1"/>
  <c r="F317" i="35" s="1"/>
  <c r="F318" i="35" s="1"/>
  <c r="F319" i="35" s="1"/>
  <c r="F320" i="35" s="1"/>
  <c r="F321" i="35" s="1"/>
  <c r="F322" i="35" s="1"/>
  <c r="F323" i="35" s="1"/>
  <c r="F324" i="35" s="1"/>
  <c r="F325" i="35" s="1"/>
  <c r="F326" i="35" s="1"/>
  <c r="F327" i="35" s="1"/>
  <c r="F328" i="35" s="1"/>
  <c r="F329" i="35" s="1"/>
  <c r="F330" i="35" s="1"/>
  <c r="F331" i="35" s="1"/>
  <c r="F332" i="35" s="1"/>
  <c r="F333" i="35" s="1"/>
  <c r="F334" i="35" s="1"/>
  <c r="F335" i="35" s="1"/>
  <c r="F336" i="35" s="1"/>
  <c r="F337" i="35" s="1"/>
  <c r="F338" i="35" s="1"/>
  <c r="F339" i="35" s="1"/>
  <c r="F340" i="35" s="1"/>
  <c r="F341" i="35" s="1"/>
  <c r="F342" i="35" s="1"/>
  <c r="F343" i="35" s="1"/>
  <c r="F344" i="35" s="1"/>
  <c r="F345" i="35" s="1"/>
  <c r="F346" i="35" s="1"/>
  <c r="F347" i="35" s="1"/>
  <c r="F348" i="35" s="1"/>
  <c r="F349" i="35" s="1"/>
  <c r="F350" i="35" s="1"/>
  <c r="F351" i="35" s="1"/>
  <c r="F352" i="35" s="1"/>
  <c r="F353" i="35" s="1"/>
  <c r="F354" i="35" s="1"/>
  <c r="F355" i="35" s="1"/>
  <c r="F356" i="35" s="1"/>
  <c r="F357" i="35" s="1"/>
  <c r="F358" i="35" s="1"/>
  <c r="F359" i="35" s="1"/>
  <c r="F360" i="35" s="1"/>
  <c r="F361" i="35" s="1"/>
  <c r="F362" i="35" s="1"/>
  <c r="F363" i="35" s="1"/>
  <c r="F364" i="35" s="1"/>
  <c r="F365" i="35" s="1"/>
  <c r="F366" i="35" s="1"/>
  <c r="F367" i="35" s="1"/>
  <c r="F368" i="35" s="1"/>
  <c r="F369" i="35" s="1"/>
  <c r="F370" i="35" s="1"/>
  <c r="F371" i="35" s="1"/>
  <c r="F372" i="35" s="1"/>
  <c r="F373" i="35" s="1"/>
  <c r="F374" i="35" s="1"/>
  <c r="F375" i="35" s="1"/>
  <c r="F376" i="35" s="1"/>
  <c r="F377" i="35" s="1"/>
  <c r="F378" i="35" s="1"/>
  <c r="F379" i="35" s="1"/>
  <c r="F380" i="35" s="1"/>
  <c r="F381" i="35" s="1"/>
  <c r="F382" i="35" s="1"/>
  <c r="F383" i="35" s="1"/>
  <c r="F384" i="35" s="1"/>
  <c r="F385" i="35" s="1"/>
  <c r="F386" i="35" s="1"/>
  <c r="F387" i="35" s="1"/>
  <c r="F388" i="35" s="1"/>
  <c r="F389" i="35" s="1"/>
  <c r="F390" i="35" s="1"/>
  <c r="F391" i="35" s="1"/>
  <c r="F392" i="35" s="1"/>
  <c r="F393" i="35" s="1"/>
  <c r="F394" i="35" s="1"/>
  <c r="F395" i="35" s="1"/>
  <c r="F396" i="35" s="1"/>
  <c r="F397" i="35" s="1"/>
  <c r="F398" i="35" s="1"/>
  <c r="F399" i="35" s="1"/>
  <c r="F400" i="35" s="1"/>
  <c r="F401" i="35" s="1"/>
  <c r="F402" i="35" s="1"/>
  <c r="F403" i="35" s="1"/>
  <c r="F404" i="35" s="1"/>
  <c r="F405" i="35" s="1"/>
  <c r="F406" i="35" s="1"/>
  <c r="F407" i="35" s="1"/>
  <c r="F408" i="35" s="1"/>
  <c r="F409" i="35" s="1"/>
  <c r="F410" i="35" s="1"/>
  <c r="F411" i="35" s="1"/>
  <c r="F412" i="35" s="1"/>
  <c r="F413" i="35" s="1"/>
  <c r="F414" i="35" s="1"/>
  <c r="F415" i="35" s="1"/>
  <c r="F416" i="35" s="1"/>
  <c r="F417" i="35" s="1"/>
  <c r="F418" i="35" s="1"/>
  <c r="F419" i="35" s="1"/>
  <c r="F420" i="35" s="1"/>
  <c r="F421" i="35" s="1"/>
  <c r="F422" i="35" s="1"/>
  <c r="F423" i="35" s="1"/>
  <c r="F424" i="35" s="1"/>
  <c r="F425" i="35" s="1"/>
  <c r="F426" i="35" s="1"/>
  <c r="F427" i="35" s="1"/>
  <c r="F428" i="35" s="1"/>
  <c r="F429" i="35" s="1"/>
  <c r="F430" i="35" s="1"/>
  <c r="F431" i="35" s="1"/>
  <c r="F432" i="35" s="1"/>
  <c r="F433" i="35" s="1"/>
  <c r="F434" i="35" s="1"/>
  <c r="F435" i="35" s="1"/>
  <c r="F436" i="35" s="1"/>
  <c r="F437" i="35" s="1"/>
  <c r="F438" i="35" s="1"/>
  <c r="F439" i="35" s="1"/>
  <c r="F440" i="35" s="1"/>
  <c r="F441" i="35" s="1"/>
  <c r="F442" i="35" s="1"/>
  <c r="F443" i="35" s="1"/>
  <c r="F444" i="35" s="1"/>
  <c r="F445" i="35" s="1"/>
  <c r="F446" i="35" s="1"/>
  <c r="F447" i="35" s="1"/>
  <c r="F448" i="35" s="1"/>
  <c r="F449" i="35" s="1"/>
  <c r="F450" i="35" s="1"/>
  <c r="F451" i="35" s="1"/>
  <c r="F452" i="35" s="1"/>
  <c r="F453" i="35" s="1"/>
  <c r="F454" i="35" s="1"/>
  <c r="F455" i="35" s="1"/>
  <c r="F456" i="35" s="1"/>
  <c r="F457" i="35" s="1"/>
  <c r="F458" i="35" s="1"/>
  <c r="F459" i="35" s="1"/>
  <c r="F460" i="35" s="1"/>
  <c r="F461" i="35" s="1"/>
  <c r="F462" i="35" s="1"/>
  <c r="F463" i="35" s="1"/>
  <c r="F464" i="35" s="1"/>
  <c r="F465" i="35" s="1"/>
  <c r="F466" i="35" s="1"/>
  <c r="F467" i="35" s="1"/>
  <c r="F468" i="35" s="1"/>
  <c r="F469" i="35" s="1"/>
  <c r="F470" i="35" s="1"/>
  <c r="F471" i="35" s="1"/>
  <c r="F472" i="35" s="1"/>
  <c r="F473" i="35" s="1"/>
  <c r="F474" i="35" s="1"/>
  <c r="F475" i="35" s="1"/>
  <c r="F476" i="35" s="1"/>
  <c r="F477" i="35" s="1"/>
  <c r="F478" i="35" s="1"/>
  <c r="F479" i="35" s="1"/>
  <c r="F480" i="35" s="1"/>
  <c r="F481" i="35" s="1"/>
  <c r="F482" i="35" s="1"/>
  <c r="F483" i="35" s="1"/>
  <c r="F484" i="35" s="1"/>
  <c r="F485" i="35" s="1"/>
  <c r="F486" i="35" s="1"/>
  <c r="F487" i="35" s="1"/>
  <c r="F488" i="35" s="1"/>
  <c r="F489" i="35" s="1"/>
  <c r="F490" i="35" s="1"/>
  <c r="F491" i="35" s="1"/>
  <c r="F492" i="35" s="1"/>
  <c r="F493" i="35" s="1"/>
  <c r="F494" i="35" s="1"/>
  <c r="F495" i="35" s="1"/>
  <c r="F496" i="35" s="1"/>
  <c r="F497" i="35" s="1"/>
  <c r="F498" i="35" s="1"/>
  <c r="F499" i="35" s="1"/>
  <c r="F500" i="35" s="1"/>
  <c r="F501" i="35" s="1"/>
  <c r="F502" i="35" s="1"/>
  <c r="F503" i="35" s="1"/>
  <c r="F504" i="35" s="1"/>
  <c r="F505" i="35" s="1"/>
  <c r="F506" i="35" s="1"/>
  <c r="F507" i="35" s="1"/>
  <c r="F508" i="35" s="1"/>
  <c r="F509" i="35" s="1"/>
  <c r="F510" i="35" s="1"/>
  <c r="F511" i="35" s="1"/>
  <c r="F512" i="35" s="1"/>
  <c r="F513" i="35" s="1"/>
  <c r="F514" i="35" s="1"/>
  <c r="F515" i="35" s="1"/>
  <c r="F516" i="35" s="1"/>
  <c r="F517" i="35" s="1"/>
  <c r="F518" i="35" s="1"/>
  <c r="F519" i="35" s="1"/>
  <c r="F520" i="35" s="1"/>
  <c r="F521" i="35" s="1"/>
  <c r="F522" i="35" s="1"/>
  <c r="F523" i="35" s="1"/>
  <c r="F524" i="35" s="1"/>
  <c r="F525" i="35" s="1"/>
  <c r="F526" i="35" s="1"/>
  <c r="F527" i="35" s="1"/>
  <c r="F528" i="35" s="1"/>
  <c r="F529" i="35" s="1"/>
  <c r="F530" i="35" s="1"/>
  <c r="D531" i="35" s="1"/>
  <c r="G55" i="35"/>
  <c r="F50" i="35"/>
  <c r="D7" i="35"/>
  <c r="D9" i="35" s="1"/>
  <c r="D10" i="35" s="1"/>
  <c r="D11" i="35" s="1"/>
  <c r="F4" i="35"/>
  <c r="D538" i="35" l="1"/>
  <c r="D539" i="35"/>
  <c r="D21" i="35"/>
  <c r="D22" i="35" s="1"/>
  <c r="D23" i="35" s="1"/>
  <c r="D25" i="35" s="1"/>
  <c r="D27" i="35" s="1"/>
  <c r="D28" i="35" s="1"/>
  <c r="D29" i="35" s="1"/>
  <c r="D30" i="35" s="1"/>
  <c r="D31" i="35" s="1"/>
  <c r="D33" i="35" s="1"/>
  <c r="D37" i="35" s="1"/>
  <c r="D39" i="35" s="1"/>
  <c r="D40" i="35" s="1"/>
  <c r="D42" i="35" s="1"/>
  <c r="D12" i="35"/>
  <c r="D13" i="35" s="1"/>
  <c r="D14" i="35" s="1"/>
  <c r="D15" i="35" s="1"/>
  <c r="D16" i="35" s="1"/>
  <c r="D17" i="35" s="1"/>
  <c r="D18" i="35" s="1"/>
  <c r="D19" i="35" s="1"/>
  <c r="D20" i="35" s="1"/>
  <c r="F7" i="35"/>
  <c r="F21" i="35" l="1"/>
  <c r="F11" i="35"/>
  <c r="F10" i="35"/>
  <c r="F9" i="35"/>
  <c r="F12" i="35"/>
  <c r="E8" i="19"/>
  <c r="Q8" i="19" s="1"/>
  <c r="A3" i="20"/>
  <c r="Q257" i="19"/>
  <c r="P258" i="19"/>
  <c r="R257" i="19"/>
  <c r="C20" i="20" s="1"/>
  <c r="E225" i="19"/>
  <c r="Q225" i="19" s="1"/>
  <c r="E223" i="19"/>
  <c r="Q223" i="19" s="1"/>
  <c r="E222" i="19"/>
  <c r="Q222" i="19" s="1"/>
  <c r="E209" i="19"/>
  <c r="Q209" i="19" s="1"/>
  <c r="E196" i="19"/>
  <c r="Q196" i="19" s="1"/>
  <c r="E190" i="19"/>
  <c r="Q190" i="19" s="1"/>
  <c r="E183" i="19"/>
  <c r="Q183" i="19" s="1"/>
  <c r="E182" i="19"/>
  <c r="Q182" i="19" s="1"/>
  <c r="E180" i="19"/>
  <c r="Q180" i="19" s="1"/>
  <c r="E174" i="19"/>
  <c r="Q174" i="19" s="1"/>
  <c r="E160" i="19"/>
  <c r="Q160" i="19" s="1"/>
  <c r="E140" i="19"/>
  <c r="Q140" i="19" s="1"/>
  <c r="E136" i="19"/>
  <c r="Q136" i="19" s="1"/>
  <c r="E122" i="19"/>
  <c r="Q122" i="19" s="1"/>
  <c r="E111" i="19"/>
  <c r="Q111" i="19" s="1"/>
  <c r="E100" i="19"/>
  <c r="Q100" i="19" s="1"/>
  <c r="E99" i="19"/>
  <c r="Q99" i="19" s="1"/>
  <c r="E89" i="19"/>
  <c r="Q89" i="19" s="1"/>
  <c r="E73" i="19"/>
  <c r="Q73" i="19" s="1"/>
  <c r="E66" i="19"/>
  <c r="Q66" i="19" s="1"/>
  <c r="E65" i="19"/>
  <c r="Q65" i="19" s="1"/>
  <c r="E62" i="19"/>
  <c r="Q62" i="19" s="1"/>
  <c r="E59" i="19"/>
  <c r="Q59" i="19" s="1"/>
  <c r="E51" i="19"/>
  <c r="Q51" i="19" s="1"/>
  <c r="E31" i="19"/>
  <c r="Q31" i="19" s="1"/>
  <c r="E14" i="19"/>
  <c r="Q14" i="19" s="1"/>
  <c r="E13" i="19"/>
  <c r="Q13" i="19" s="1"/>
  <c r="E256" i="19"/>
  <c r="Q256" i="19" s="1"/>
  <c r="E255" i="19"/>
  <c r="Q255" i="19" s="1"/>
  <c r="E254" i="19"/>
  <c r="Q254" i="19" s="1"/>
  <c r="E253" i="19"/>
  <c r="Q253" i="19" s="1"/>
  <c r="E252" i="19"/>
  <c r="Q252" i="19" s="1"/>
  <c r="E251" i="19"/>
  <c r="Q251" i="19" s="1"/>
  <c r="E250" i="19"/>
  <c r="Q250" i="19" s="1"/>
  <c r="E249" i="19"/>
  <c r="Q249" i="19" s="1"/>
  <c r="E248" i="19"/>
  <c r="Q248" i="19" s="1"/>
  <c r="E247" i="19"/>
  <c r="Q247" i="19" s="1"/>
  <c r="E246" i="19"/>
  <c r="Q246" i="19" s="1"/>
  <c r="E245" i="19"/>
  <c r="Q245" i="19" s="1"/>
  <c r="E244" i="19"/>
  <c r="Q244" i="19" s="1"/>
  <c r="E243" i="19"/>
  <c r="Q243" i="19" s="1"/>
  <c r="E242" i="19"/>
  <c r="Q242" i="19" s="1"/>
  <c r="E241" i="19"/>
  <c r="Q241" i="19" s="1"/>
  <c r="E240" i="19"/>
  <c r="Q240" i="19" s="1"/>
  <c r="E239" i="19"/>
  <c r="Q239" i="19" s="1"/>
  <c r="E238" i="19"/>
  <c r="Q238" i="19" s="1"/>
  <c r="E237" i="19"/>
  <c r="Q237" i="19" s="1"/>
  <c r="E236" i="19"/>
  <c r="Q236" i="19" s="1"/>
  <c r="E235" i="19"/>
  <c r="Q235" i="19" s="1"/>
  <c r="E234" i="19"/>
  <c r="Q234" i="19" s="1"/>
  <c r="E233" i="19"/>
  <c r="Q233" i="19" s="1"/>
  <c r="E232" i="19"/>
  <c r="Q232" i="19" s="1"/>
  <c r="E231" i="19"/>
  <c r="Q231" i="19" s="1"/>
  <c r="E230" i="19"/>
  <c r="Q230" i="19" s="1"/>
  <c r="E229" i="19"/>
  <c r="Q229" i="19" s="1"/>
  <c r="E228" i="19"/>
  <c r="Q228" i="19" s="1"/>
  <c r="E227" i="19"/>
  <c r="Q227" i="19" s="1"/>
  <c r="E226" i="19"/>
  <c r="Q226" i="19" s="1"/>
  <c r="E224" i="19"/>
  <c r="Q224" i="19" s="1"/>
  <c r="E221" i="19"/>
  <c r="Q221" i="19" s="1"/>
  <c r="E220" i="19"/>
  <c r="Q220" i="19" s="1"/>
  <c r="E219" i="19"/>
  <c r="Q219" i="19" s="1"/>
  <c r="E218" i="19"/>
  <c r="Q218" i="19" s="1"/>
  <c r="E217" i="19"/>
  <c r="Q217" i="19" s="1"/>
  <c r="E216" i="19"/>
  <c r="Q216" i="19" s="1"/>
  <c r="E215" i="19"/>
  <c r="Q215" i="19" s="1"/>
  <c r="E214" i="19"/>
  <c r="Q214" i="19" s="1"/>
  <c r="E213" i="19"/>
  <c r="Q213" i="19" s="1"/>
  <c r="E212" i="19"/>
  <c r="Q212" i="19" s="1"/>
  <c r="E211" i="19"/>
  <c r="Q211" i="19" s="1"/>
  <c r="E210" i="19"/>
  <c r="Q210" i="19" s="1"/>
  <c r="E208" i="19"/>
  <c r="Q208" i="19" s="1"/>
  <c r="E207" i="19"/>
  <c r="Q207" i="19" s="1"/>
  <c r="E206" i="19"/>
  <c r="Q206" i="19" s="1"/>
  <c r="E205" i="19"/>
  <c r="Q205" i="19" s="1"/>
  <c r="E204" i="19"/>
  <c r="Q204" i="19" s="1"/>
  <c r="E203" i="19"/>
  <c r="Q203" i="19" s="1"/>
  <c r="E202" i="19"/>
  <c r="Q202" i="19" s="1"/>
  <c r="E201" i="19"/>
  <c r="Q201" i="19" s="1"/>
  <c r="E200" i="19"/>
  <c r="Q200" i="19" s="1"/>
  <c r="E199" i="19"/>
  <c r="Q199" i="19" s="1"/>
  <c r="E198" i="19"/>
  <c r="Q198" i="19" s="1"/>
  <c r="E197" i="19"/>
  <c r="Q197" i="19" s="1"/>
  <c r="E195" i="19"/>
  <c r="Q195" i="19" s="1"/>
  <c r="E194" i="19"/>
  <c r="Q194" i="19" s="1"/>
  <c r="E193" i="19"/>
  <c r="Q193" i="19" s="1"/>
  <c r="E192" i="19"/>
  <c r="Q192" i="19" s="1"/>
  <c r="E191" i="19"/>
  <c r="Q191" i="19" s="1"/>
  <c r="E189" i="19"/>
  <c r="Q189" i="19" s="1"/>
  <c r="E188" i="19"/>
  <c r="Q188" i="19" s="1"/>
  <c r="E187" i="19"/>
  <c r="Q187" i="19" s="1"/>
  <c r="E186" i="19"/>
  <c r="Q186" i="19" s="1"/>
  <c r="E185" i="19"/>
  <c r="Q185" i="19" s="1"/>
  <c r="E184" i="19"/>
  <c r="Q184" i="19" s="1"/>
  <c r="E181" i="19"/>
  <c r="Q181" i="19" s="1"/>
  <c r="E179" i="19"/>
  <c r="Q179" i="19" s="1"/>
  <c r="E178" i="19"/>
  <c r="Q178" i="19" s="1"/>
  <c r="E177" i="19"/>
  <c r="Q177" i="19" s="1"/>
  <c r="E176" i="19"/>
  <c r="Q176" i="19" s="1"/>
  <c r="E175" i="19"/>
  <c r="Q175" i="19" s="1"/>
  <c r="E173" i="19"/>
  <c r="Q173" i="19" s="1"/>
  <c r="E172" i="19"/>
  <c r="Q172" i="19" s="1"/>
  <c r="E171" i="19"/>
  <c r="Q171" i="19" s="1"/>
  <c r="E170" i="19"/>
  <c r="Q170" i="19" s="1"/>
  <c r="E169" i="19"/>
  <c r="Q169" i="19" s="1"/>
  <c r="E168" i="19"/>
  <c r="Q168" i="19" s="1"/>
  <c r="E167" i="19"/>
  <c r="Q167" i="19" s="1"/>
  <c r="E166" i="19"/>
  <c r="Q166" i="19" s="1"/>
  <c r="E165" i="19"/>
  <c r="Q165" i="19" s="1"/>
  <c r="E164" i="19"/>
  <c r="Q164" i="19" s="1"/>
  <c r="E163" i="19"/>
  <c r="Q163" i="19" s="1"/>
  <c r="E162" i="19"/>
  <c r="Q162" i="19" s="1"/>
  <c r="E161" i="19"/>
  <c r="Q161" i="19" s="1"/>
  <c r="E159" i="19"/>
  <c r="Q159" i="19" s="1"/>
  <c r="E158" i="19"/>
  <c r="Q158" i="19" s="1"/>
  <c r="E157" i="19"/>
  <c r="Q157" i="19" s="1"/>
  <c r="E156" i="19"/>
  <c r="Q156" i="19" s="1"/>
  <c r="E155" i="19"/>
  <c r="Q155" i="19" s="1"/>
  <c r="E154" i="19"/>
  <c r="Q154" i="19" s="1"/>
  <c r="E153" i="19"/>
  <c r="Q153" i="19" s="1"/>
  <c r="E152" i="19"/>
  <c r="Q152" i="19" s="1"/>
  <c r="E151" i="19"/>
  <c r="Q151" i="19" s="1"/>
  <c r="E150" i="19"/>
  <c r="Q150" i="19" s="1"/>
  <c r="E149" i="19"/>
  <c r="Q149" i="19" s="1"/>
  <c r="E148" i="19"/>
  <c r="Q148" i="19" s="1"/>
  <c r="E147" i="19"/>
  <c r="Q147" i="19" s="1"/>
  <c r="E146" i="19"/>
  <c r="Q146" i="19" s="1"/>
  <c r="E145" i="19"/>
  <c r="Q145" i="19" s="1"/>
  <c r="E144" i="19"/>
  <c r="Q144" i="19" s="1"/>
  <c r="E143" i="19"/>
  <c r="Q143" i="19" s="1"/>
  <c r="E142" i="19"/>
  <c r="Q142" i="19" s="1"/>
  <c r="E141" i="19"/>
  <c r="Q141" i="19" s="1"/>
  <c r="E139" i="19"/>
  <c r="Q139" i="19" s="1"/>
  <c r="E138" i="19"/>
  <c r="Q138" i="19" s="1"/>
  <c r="E137" i="19"/>
  <c r="Q137" i="19" s="1"/>
  <c r="E135" i="19"/>
  <c r="Q135" i="19" s="1"/>
  <c r="E134" i="19"/>
  <c r="Q134" i="19" s="1"/>
  <c r="E133" i="19"/>
  <c r="Q133" i="19" s="1"/>
  <c r="E132" i="19"/>
  <c r="Q132" i="19" s="1"/>
  <c r="E131" i="19"/>
  <c r="Q131" i="19" s="1"/>
  <c r="E130" i="19"/>
  <c r="Q130" i="19" s="1"/>
  <c r="E129" i="19"/>
  <c r="Q129" i="19" s="1"/>
  <c r="E128" i="19"/>
  <c r="Q128" i="19" s="1"/>
  <c r="E127" i="19"/>
  <c r="Q127" i="19" s="1"/>
  <c r="E126" i="19"/>
  <c r="Q126" i="19" s="1"/>
  <c r="E125" i="19"/>
  <c r="Q125" i="19" s="1"/>
  <c r="E124" i="19"/>
  <c r="Q124" i="19" s="1"/>
  <c r="E123" i="19"/>
  <c r="Q123" i="19" s="1"/>
  <c r="E121" i="19"/>
  <c r="Q121" i="19" s="1"/>
  <c r="E120" i="19"/>
  <c r="Q120" i="19" s="1"/>
  <c r="E119" i="19"/>
  <c r="Q119" i="19" s="1"/>
  <c r="E118" i="19"/>
  <c r="Q118" i="19" s="1"/>
  <c r="E117" i="19"/>
  <c r="Q117" i="19" s="1"/>
  <c r="E116" i="19"/>
  <c r="E115" i="19"/>
  <c r="Q115" i="19" s="1"/>
  <c r="E114" i="19"/>
  <c r="Q114" i="19" s="1"/>
  <c r="E113" i="19"/>
  <c r="Q113" i="19" s="1"/>
  <c r="E112" i="19"/>
  <c r="Q112" i="19" s="1"/>
  <c r="E110" i="19"/>
  <c r="Q110" i="19" s="1"/>
  <c r="E109" i="19"/>
  <c r="Q109" i="19" s="1"/>
  <c r="E108" i="19"/>
  <c r="Q108" i="19" s="1"/>
  <c r="E107" i="19"/>
  <c r="Q107" i="19" s="1"/>
  <c r="E106" i="19"/>
  <c r="Q106" i="19" s="1"/>
  <c r="E105" i="19"/>
  <c r="Q105" i="19" s="1"/>
  <c r="E104" i="19"/>
  <c r="Q104" i="19" s="1"/>
  <c r="E103" i="19"/>
  <c r="Q103" i="19" s="1"/>
  <c r="E102" i="19"/>
  <c r="Q102" i="19" s="1"/>
  <c r="E101" i="19"/>
  <c r="Q101" i="19" s="1"/>
  <c r="E98" i="19"/>
  <c r="Q98" i="19" s="1"/>
  <c r="E97" i="19"/>
  <c r="Q97" i="19" s="1"/>
  <c r="E96" i="19"/>
  <c r="Q96" i="19" s="1"/>
  <c r="E95" i="19"/>
  <c r="Q95" i="19" s="1"/>
  <c r="E94" i="19"/>
  <c r="Q94" i="19" s="1"/>
  <c r="E93" i="19"/>
  <c r="Q93" i="19" s="1"/>
  <c r="E92" i="19"/>
  <c r="Q92" i="19" s="1"/>
  <c r="E91" i="19"/>
  <c r="Q91" i="19" s="1"/>
  <c r="E90" i="19"/>
  <c r="Q90" i="19" s="1"/>
  <c r="E88" i="19"/>
  <c r="Q88" i="19" s="1"/>
  <c r="E87" i="19"/>
  <c r="Q87" i="19" s="1"/>
  <c r="E86" i="19"/>
  <c r="Q86" i="19" s="1"/>
  <c r="E85" i="19"/>
  <c r="Q85" i="19" s="1"/>
  <c r="E84" i="19"/>
  <c r="E83" i="19"/>
  <c r="Q83" i="19" s="1"/>
  <c r="E82" i="19"/>
  <c r="Q82" i="19" s="1"/>
  <c r="E81" i="19"/>
  <c r="Q81" i="19" s="1"/>
  <c r="E80" i="19"/>
  <c r="Q80" i="19" s="1"/>
  <c r="E79" i="19"/>
  <c r="Q79" i="19" s="1"/>
  <c r="E78" i="19"/>
  <c r="Q78" i="19" s="1"/>
  <c r="E77" i="19"/>
  <c r="Q77" i="19" s="1"/>
  <c r="E76" i="19"/>
  <c r="Q76" i="19" s="1"/>
  <c r="E75" i="19"/>
  <c r="Q75" i="19" s="1"/>
  <c r="E74" i="19"/>
  <c r="Q74" i="19" s="1"/>
  <c r="E72" i="19"/>
  <c r="Q72" i="19" s="1"/>
  <c r="E71" i="19"/>
  <c r="Q71" i="19" s="1"/>
  <c r="E70" i="19"/>
  <c r="Q70" i="19" s="1"/>
  <c r="E69" i="19"/>
  <c r="Q69" i="19" s="1"/>
  <c r="E68" i="19"/>
  <c r="Q68" i="19" s="1"/>
  <c r="E67" i="19"/>
  <c r="Q67" i="19" s="1"/>
  <c r="E64" i="19"/>
  <c r="Q64" i="19" s="1"/>
  <c r="E63" i="19"/>
  <c r="Q63" i="19" s="1"/>
  <c r="E61" i="19"/>
  <c r="Q61" i="19" s="1"/>
  <c r="E60" i="19"/>
  <c r="Q60" i="19" s="1"/>
  <c r="E58" i="19"/>
  <c r="Q58" i="19" s="1"/>
  <c r="E57" i="19"/>
  <c r="Q57" i="19" s="1"/>
  <c r="E56" i="19"/>
  <c r="Q56" i="19" s="1"/>
  <c r="E55" i="19"/>
  <c r="Q55" i="19" s="1"/>
  <c r="E54" i="19"/>
  <c r="Q54" i="19" s="1"/>
  <c r="E53" i="19"/>
  <c r="Q53" i="19" s="1"/>
  <c r="E52" i="19"/>
  <c r="Q52" i="19" s="1"/>
  <c r="E50" i="19"/>
  <c r="Q50" i="19" s="1"/>
  <c r="E49" i="19"/>
  <c r="Q49" i="19" s="1"/>
  <c r="E48" i="19"/>
  <c r="Q48" i="19" s="1"/>
  <c r="E47" i="19"/>
  <c r="Q47" i="19" s="1"/>
  <c r="E46" i="19"/>
  <c r="Q46" i="19" s="1"/>
  <c r="E45" i="19"/>
  <c r="Q45" i="19" s="1"/>
  <c r="E44" i="19"/>
  <c r="E43" i="19"/>
  <c r="Q43" i="19" s="1"/>
  <c r="E42" i="19"/>
  <c r="Q42" i="19" s="1"/>
  <c r="E41" i="19"/>
  <c r="Q41" i="19" s="1"/>
  <c r="E40" i="19"/>
  <c r="Q40" i="19" s="1"/>
  <c r="E39" i="19"/>
  <c r="Q39" i="19" s="1"/>
  <c r="E38" i="19"/>
  <c r="Q38" i="19" s="1"/>
  <c r="E37" i="19"/>
  <c r="Q37" i="19" s="1"/>
  <c r="E36" i="19"/>
  <c r="Q36" i="19" s="1"/>
  <c r="E35" i="19"/>
  <c r="Q35" i="19" s="1"/>
  <c r="E34" i="19"/>
  <c r="Q34" i="19" s="1"/>
  <c r="E33" i="19"/>
  <c r="Q33" i="19" s="1"/>
  <c r="E32" i="19"/>
  <c r="Q32" i="19" s="1"/>
  <c r="E30" i="19"/>
  <c r="Q30" i="19" s="1"/>
  <c r="E29" i="19"/>
  <c r="Q29" i="19" s="1"/>
  <c r="E28" i="19"/>
  <c r="Q28" i="19" s="1"/>
  <c r="E27" i="19"/>
  <c r="E26" i="19"/>
  <c r="Q26" i="19" s="1"/>
  <c r="E25" i="19"/>
  <c r="Q25" i="19" s="1"/>
  <c r="E24" i="19"/>
  <c r="Q24" i="19" s="1"/>
  <c r="E23" i="19"/>
  <c r="Q23" i="19" s="1"/>
  <c r="E22" i="19"/>
  <c r="Q22" i="19" s="1"/>
  <c r="E21" i="19"/>
  <c r="Q21" i="19" s="1"/>
  <c r="E20" i="19"/>
  <c r="Q20" i="19" s="1"/>
  <c r="E19" i="19"/>
  <c r="Q19" i="19" s="1"/>
  <c r="E18" i="19"/>
  <c r="Q18" i="19" s="1"/>
  <c r="E17" i="19"/>
  <c r="Q17" i="19" s="1"/>
  <c r="E16" i="19"/>
  <c r="Q16" i="19" s="1"/>
  <c r="E15" i="19"/>
  <c r="Q15" i="19" s="1"/>
  <c r="E12" i="19"/>
  <c r="Q12" i="19" s="1"/>
  <c r="E11" i="19"/>
  <c r="Q11" i="19" s="1"/>
  <c r="E10" i="19"/>
  <c r="Q10" i="19" s="1"/>
  <c r="E9" i="19"/>
  <c r="N27" i="19"/>
  <c r="L237" i="19"/>
  <c r="I27" i="19"/>
  <c r="H237" i="19"/>
  <c r="G237" i="19"/>
  <c r="F27" i="19"/>
  <c r="N257" i="19"/>
  <c r="M257" i="19"/>
  <c r="L257" i="19"/>
  <c r="K257" i="19"/>
  <c r="J257" i="19"/>
  <c r="I257" i="19"/>
  <c r="H257" i="19"/>
  <c r="G257" i="19"/>
  <c r="F257" i="19"/>
  <c r="N155" i="19"/>
  <c r="L155" i="19"/>
  <c r="I155" i="19"/>
  <c r="H155" i="19"/>
  <c r="G155" i="19"/>
  <c r="F155" i="19"/>
  <c r="N134" i="19"/>
  <c r="L134" i="19"/>
  <c r="I134" i="19"/>
  <c r="H134" i="19"/>
  <c r="G134" i="19"/>
  <c r="F134" i="19"/>
  <c r="N100" i="19"/>
  <c r="L100" i="19"/>
  <c r="I100" i="19"/>
  <c r="H100" i="19"/>
  <c r="G100" i="19"/>
  <c r="F100" i="19"/>
  <c r="N203" i="19"/>
  <c r="L203" i="19"/>
  <c r="I203" i="19"/>
  <c r="H203" i="19"/>
  <c r="G203" i="19"/>
  <c r="F203" i="19"/>
  <c r="N8" i="19"/>
  <c r="N258" i="19" s="1"/>
  <c r="G8" i="19"/>
  <c r="G258" i="19" s="1"/>
  <c r="F8" i="19"/>
  <c r="F258" i="19" s="1"/>
  <c r="N65" i="19"/>
  <c r="L65" i="19"/>
  <c r="I65" i="19"/>
  <c r="H65" i="19"/>
  <c r="G65" i="19"/>
  <c r="F65" i="19"/>
  <c r="N187" i="19"/>
  <c r="L187" i="19"/>
  <c r="I187" i="19"/>
  <c r="H187" i="19"/>
  <c r="G187" i="19"/>
  <c r="F187" i="19"/>
  <c r="N83" i="19"/>
  <c r="L83" i="19"/>
  <c r="I83" i="19"/>
  <c r="H83" i="19"/>
  <c r="G83" i="19"/>
  <c r="F83" i="19"/>
  <c r="N175" i="19"/>
  <c r="L175" i="19"/>
  <c r="I175" i="19"/>
  <c r="H175" i="19"/>
  <c r="G175" i="19"/>
  <c r="F175" i="19"/>
  <c r="N44" i="19"/>
  <c r="L44" i="19"/>
  <c r="I44" i="19"/>
  <c r="H44" i="19"/>
  <c r="G44" i="19"/>
  <c r="F44" i="19"/>
  <c r="N115" i="19"/>
  <c r="L115" i="19"/>
  <c r="I115" i="19"/>
  <c r="H115" i="19"/>
  <c r="G115" i="19"/>
  <c r="F115" i="19"/>
  <c r="N217" i="19"/>
  <c r="L217" i="19"/>
  <c r="I217" i="19"/>
  <c r="H217" i="19"/>
  <c r="G217" i="19"/>
  <c r="F217" i="19"/>
  <c r="N237" i="19"/>
  <c r="G27" i="19"/>
  <c r="F237" i="19"/>
  <c r="I237" i="19"/>
  <c r="H27" i="19"/>
  <c r="L27" i="19"/>
  <c r="K44" i="19"/>
  <c r="J27" i="19"/>
  <c r="J44" i="19"/>
  <c r="J203" i="19"/>
  <c r="I8" i="19"/>
  <c r="I258" i="19" s="1"/>
  <c r="K100" i="19"/>
  <c r="K134" i="19"/>
  <c r="K83" i="19"/>
  <c r="K155" i="19"/>
  <c r="K187" i="19"/>
  <c r="K217" i="19"/>
  <c r="J100" i="19"/>
  <c r="J115" i="19"/>
  <c r="J175" i="19"/>
  <c r="K65" i="19"/>
  <c r="J187" i="19"/>
  <c r="K115" i="19"/>
  <c r="K175" i="19"/>
  <c r="J217" i="19"/>
  <c r="J83" i="19"/>
  <c r="K237" i="19"/>
  <c r="K203" i="19"/>
  <c r="L8" i="19"/>
  <c r="L258" i="19" s="1"/>
  <c r="J155" i="19"/>
  <c r="J134" i="19"/>
  <c r="J8" i="19"/>
  <c r="J258" i="19" s="1"/>
  <c r="H8" i="19"/>
  <c r="H258" i="19" s="1"/>
  <c r="J237" i="19"/>
  <c r="K27" i="19"/>
  <c r="J65" i="19"/>
  <c r="K8" i="19"/>
  <c r="K258" i="19" s="1"/>
  <c r="F13" i="35" l="1"/>
  <c r="F22" i="35"/>
  <c r="R187" i="19"/>
  <c r="C17" i="20" s="1"/>
  <c r="M187" i="19"/>
  <c r="R217" i="19"/>
  <c r="C12" i="20" s="1"/>
  <c r="M155" i="19"/>
  <c r="M217" i="19"/>
  <c r="M175" i="19"/>
  <c r="M203" i="19"/>
  <c r="M134" i="19"/>
  <c r="M100" i="19"/>
  <c r="M27" i="19"/>
  <c r="R237" i="19"/>
  <c r="C8" i="20" s="1"/>
  <c r="R65" i="19"/>
  <c r="C18" i="20" s="1"/>
  <c r="M8" i="19"/>
  <c r="R134" i="19"/>
  <c r="C14" i="20" s="1"/>
  <c r="E258" i="19"/>
  <c r="M44" i="19"/>
  <c r="Q84" i="19"/>
  <c r="R83" i="19" s="1"/>
  <c r="C9" i="20" s="1"/>
  <c r="M83" i="19"/>
  <c r="R155" i="19"/>
  <c r="C6" i="20" s="1"/>
  <c r="Q116" i="19"/>
  <c r="R115" i="19" s="1"/>
  <c r="C11" i="20" s="1"/>
  <c r="M115" i="19"/>
  <c r="M65" i="19"/>
  <c r="Q9" i="19"/>
  <c r="R8" i="19" s="1"/>
  <c r="Q27" i="19"/>
  <c r="R27" i="19" s="1"/>
  <c r="C10" i="20" s="1"/>
  <c r="Q44" i="19"/>
  <c r="R44" i="19" s="1"/>
  <c r="C13" i="20" s="1"/>
  <c r="R203" i="19"/>
  <c r="C16" i="20" s="1"/>
  <c r="R175" i="19"/>
  <c r="C7" i="20" s="1"/>
  <c r="R100" i="19"/>
  <c r="C19" i="20" s="1"/>
  <c r="M237" i="19"/>
  <c r="F23" i="35" l="1"/>
  <c r="F14" i="35"/>
  <c r="M258" i="19"/>
  <c r="R258" i="19"/>
  <c r="C15" i="20"/>
  <c r="C21" i="20" s="1"/>
  <c r="Q258" i="19"/>
  <c r="F15" i="35" l="1"/>
  <c r="F25" i="35"/>
  <c r="F16" i="35" l="1"/>
  <c r="F27" i="35"/>
  <c r="F43" i="35" l="1"/>
  <c r="F28" i="35"/>
  <c r="F17" i="35"/>
  <c r="F44" i="35" l="1"/>
  <c r="F18" i="35"/>
  <c r="F29" i="35"/>
  <c r="F45" i="35" l="1"/>
  <c r="F30" i="35"/>
  <c r="F20" i="35"/>
  <c r="F19" i="35"/>
  <c r="F46" i="35" l="1"/>
  <c r="F31" i="35"/>
  <c r="F33" i="35" l="1"/>
  <c r="F37" i="35" l="1"/>
  <c r="F39" i="35" l="1"/>
  <c r="F42" i="35" l="1"/>
  <c r="F40" i="35"/>
</calcChain>
</file>

<file path=xl/sharedStrings.xml><?xml version="1.0" encoding="utf-8"?>
<sst xmlns="http://schemas.openxmlformats.org/spreadsheetml/2006/main" count="1610" uniqueCount="551">
  <si>
    <t>KARANGTENGAH</t>
  </si>
  <si>
    <t>NO</t>
  </si>
  <si>
    <t>KECAMATAN</t>
  </si>
  <si>
    <t xml:space="preserve"> DESA</t>
  </si>
  <si>
    <t>Mranggen</t>
  </si>
  <si>
    <t>Kangkung</t>
  </si>
  <si>
    <t>Kalitengah</t>
  </si>
  <si>
    <t>Brumbung</t>
  </si>
  <si>
    <t>Sumberejo</t>
  </si>
  <si>
    <t>Bandungrejo</t>
  </si>
  <si>
    <t>Menur</t>
  </si>
  <si>
    <t>Ringinjajar</t>
  </si>
  <si>
    <t>Candisari</t>
  </si>
  <si>
    <t>Ngemplak</t>
  </si>
  <si>
    <t>Karangsono</t>
  </si>
  <si>
    <t>Jamus</t>
  </si>
  <si>
    <t>Waru</t>
  </si>
  <si>
    <t>Tegalarum</t>
  </si>
  <si>
    <t>Tamansari</t>
  </si>
  <si>
    <t>By.meneng</t>
  </si>
  <si>
    <t>Kebonbatur</t>
  </si>
  <si>
    <t>Batursari</t>
  </si>
  <si>
    <t>Karangtengah</t>
  </si>
  <si>
    <t>Wonowoso</t>
  </si>
  <si>
    <t>Sampang</t>
  </si>
  <si>
    <t>Pulosari</t>
  </si>
  <si>
    <t>Rejosari</t>
  </si>
  <si>
    <t>Ploso</t>
  </si>
  <si>
    <t>Wonokerto</t>
  </si>
  <si>
    <t>Batu</t>
  </si>
  <si>
    <t>Donorejo</t>
  </si>
  <si>
    <t>Wonoagung</t>
  </si>
  <si>
    <t>Klitih</t>
  </si>
  <si>
    <t>Grogol</t>
  </si>
  <si>
    <t>Pidodo</t>
  </si>
  <si>
    <t>Dukun</t>
  </si>
  <si>
    <t>Wonosalam</t>
  </si>
  <si>
    <t>Botorejo</t>
  </si>
  <si>
    <t>Getas</t>
  </si>
  <si>
    <t>Kuncir</t>
  </si>
  <si>
    <t>Trengguli</t>
  </si>
  <si>
    <t>Mranak</t>
  </si>
  <si>
    <t>Pilangrejo</t>
  </si>
  <si>
    <t>Kerangkulon</t>
  </si>
  <si>
    <t>Sidomulyo</t>
  </si>
  <si>
    <t>Bunderan</t>
  </si>
  <si>
    <t>Mojo demak</t>
  </si>
  <si>
    <t>Mrisen</t>
  </si>
  <si>
    <t>Doreng</t>
  </si>
  <si>
    <t>Kalianyar</t>
  </si>
  <si>
    <t>Tlogorejo</t>
  </si>
  <si>
    <t>Tlogodowo</t>
  </si>
  <si>
    <t>Lempuyang</t>
  </si>
  <si>
    <t>Karangrejo</t>
  </si>
  <si>
    <t>Jogoloyo</t>
  </si>
  <si>
    <t>Gajah</t>
  </si>
  <si>
    <t>Kedondong</t>
  </si>
  <si>
    <t>Banjarsari</t>
  </si>
  <si>
    <t>Sari</t>
  </si>
  <si>
    <t>Boyolali</t>
  </si>
  <si>
    <t>Jatisono</t>
  </si>
  <si>
    <t>Sambiroto</t>
  </si>
  <si>
    <t>Tlg.pandogan</t>
  </si>
  <si>
    <t>Surodadi</t>
  </si>
  <si>
    <t>Gedangalas</t>
  </si>
  <si>
    <t>Sambung</t>
  </si>
  <si>
    <t>Tambirejo</t>
  </si>
  <si>
    <t>Mlatiharjo</t>
  </si>
  <si>
    <t>Mojosimo</t>
  </si>
  <si>
    <t>Medini</t>
  </si>
  <si>
    <t>Wilalung</t>
  </si>
  <si>
    <t>Tanjunganyar</t>
  </si>
  <si>
    <t>Mlekang</t>
  </si>
  <si>
    <t>Karanganyar</t>
  </si>
  <si>
    <t>Cangkring B</t>
  </si>
  <si>
    <t>Undaan Lor</t>
  </si>
  <si>
    <t>Undaan Kdl</t>
  </si>
  <si>
    <t>Ketanjung</t>
  </si>
  <si>
    <t>Cangkring R</t>
  </si>
  <si>
    <t>Tuang</t>
  </si>
  <si>
    <t>Wonorejo</t>
  </si>
  <si>
    <t>Ngaluran</t>
  </si>
  <si>
    <t>Kd waru Kdl</t>
  </si>
  <si>
    <t>Kd waru Lor</t>
  </si>
  <si>
    <t>Tugu Lor</t>
  </si>
  <si>
    <t>Wonoketingal</t>
  </si>
  <si>
    <t>Jatirejo</t>
  </si>
  <si>
    <t>Mjen</t>
  </si>
  <si>
    <t>Mijen</t>
  </si>
  <si>
    <t>Geneng</t>
  </si>
  <si>
    <t>Tanggul</t>
  </si>
  <si>
    <t>Mlaten</t>
  </si>
  <si>
    <t>Bermi</t>
  </si>
  <si>
    <t>Gempol songo</t>
  </si>
  <si>
    <t>Ngelowetan</t>
  </si>
  <si>
    <t>Bakung</t>
  </si>
  <si>
    <t>Pasir</t>
  </si>
  <si>
    <t>Jleper</t>
  </si>
  <si>
    <t>Ngegot</t>
  </si>
  <si>
    <t>Pecuk</t>
  </si>
  <si>
    <t>Ngelo Kulon</t>
  </si>
  <si>
    <t>Demak</t>
  </si>
  <si>
    <t>Betokan</t>
  </si>
  <si>
    <t>Kalicilik</t>
  </si>
  <si>
    <t>Kadilangu</t>
  </si>
  <si>
    <t>Singorejo</t>
  </si>
  <si>
    <t>Karangmlati</t>
  </si>
  <si>
    <t>Bintoro</t>
  </si>
  <si>
    <t>Turirejo</t>
  </si>
  <si>
    <t>Bango</t>
  </si>
  <si>
    <t>Raji</t>
  </si>
  <si>
    <t>Mulyorejo</t>
  </si>
  <si>
    <t>Sedo</t>
  </si>
  <si>
    <t>Bolo</t>
  </si>
  <si>
    <t>Katonsari</t>
  </si>
  <si>
    <t>Kalikondang</t>
  </si>
  <si>
    <t>Cabean</t>
  </si>
  <si>
    <t>Tempuran</t>
  </si>
  <si>
    <t>Donorojo</t>
  </si>
  <si>
    <t>Mangunjiwan</t>
  </si>
  <si>
    <t>Bonang</t>
  </si>
  <si>
    <t>Morodemak</t>
  </si>
  <si>
    <t>Purworejo</t>
  </si>
  <si>
    <t>Gebangarum</t>
  </si>
  <si>
    <t>Gebang</t>
  </si>
  <si>
    <t>Kembangan</t>
  </si>
  <si>
    <t>Sukodono</t>
  </si>
  <si>
    <t>Tlogoboyo</t>
  </si>
  <si>
    <t>Margolinduk</t>
  </si>
  <si>
    <t>Tridonorejo</t>
  </si>
  <si>
    <t>Wonosari</t>
  </si>
  <si>
    <t>Jatirogo</t>
  </si>
  <si>
    <t>Poncoharjo</t>
  </si>
  <si>
    <t>Jali</t>
  </si>
  <si>
    <t>Krajanboga</t>
  </si>
  <si>
    <t>Serangan</t>
  </si>
  <si>
    <t>Betahwalang</t>
  </si>
  <si>
    <t>Jatimulyo</t>
  </si>
  <si>
    <t>Weding</t>
  </si>
  <si>
    <t>Bonangrejo</t>
  </si>
  <si>
    <t xml:space="preserve">Guntur </t>
  </si>
  <si>
    <t>Temuroso</t>
  </si>
  <si>
    <t>Turitempel</t>
  </si>
  <si>
    <t>Tlogoweru</t>
  </si>
  <si>
    <t>Trimulyo</t>
  </si>
  <si>
    <t>Bakalrejo</t>
  </si>
  <si>
    <t>Bumiharjo</t>
  </si>
  <si>
    <t>Sidoharjo</t>
  </si>
  <si>
    <t>Bogosari</t>
  </si>
  <si>
    <t>Guntur</t>
  </si>
  <si>
    <t>Blerong</t>
  </si>
  <si>
    <t>Pamongan</t>
  </si>
  <si>
    <t>Sukorejo</t>
  </si>
  <si>
    <t>Sarirejo</t>
  </si>
  <si>
    <t>Sidokumpul</t>
  </si>
  <si>
    <t>Gaji</t>
  </si>
  <si>
    <t>Banjarejo</t>
  </si>
  <si>
    <t>Krandon</t>
  </si>
  <si>
    <t>Tangkis</t>
  </si>
  <si>
    <t>Bumirejo</t>
  </si>
  <si>
    <t>Pundenarum</t>
  </si>
  <si>
    <t>Kuripan</t>
  </si>
  <si>
    <t>Brambang</t>
  </si>
  <si>
    <t>Karangawen</t>
  </si>
  <si>
    <t>Sidorejo</t>
  </si>
  <si>
    <t>Wonosekar</t>
  </si>
  <si>
    <t>Teluk</t>
  </si>
  <si>
    <t>Margohayu</t>
  </si>
  <si>
    <t>Jragung</t>
  </si>
  <si>
    <t>Dempet</t>
  </si>
  <si>
    <t>Harjowinangun</t>
  </si>
  <si>
    <t>Brakas</t>
  </si>
  <si>
    <t>Gempoldenok</t>
  </si>
  <si>
    <t>Botosengon</t>
  </si>
  <si>
    <t>Merak</t>
  </si>
  <si>
    <t>Kebonsari</t>
  </si>
  <si>
    <t>Balerejo</t>
  </si>
  <si>
    <t>Baleromo</t>
  </si>
  <si>
    <t>Jeruk gulung</t>
  </si>
  <si>
    <t>Kunir</t>
  </si>
  <si>
    <t>Kuwu</t>
  </si>
  <si>
    <t>Kramat</t>
  </si>
  <si>
    <t>Kebonagung</t>
  </si>
  <si>
    <t>Mangunrejo</t>
  </si>
  <si>
    <t>Tlogosih</t>
  </si>
  <si>
    <t>Megonten</t>
  </si>
  <si>
    <t>Sokokidul</t>
  </si>
  <si>
    <t>Pilangwetan</t>
  </si>
  <si>
    <t>Klampok Lor</t>
  </si>
  <si>
    <t>Werdoyo</t>
  </si>
  <si>
    <t>Babat</t>
  </si>
  <si>
    <t>Prigi</t>
  </si>
  <si>
    <t>Sarimulyo</t>
  </si>
  <si>
    <t>Solowire</t>
  </si>
  <si>
    <t>Mangunan Lor</t>
  </si>
  <si>
    <t xml:space="preserve">Sayung </t>
  </si>
  <si>
    <t>Bedono</t>
  </si>
  <si>
    <t>Gemulak</t>
  </si>
  <si>
    <t>Sriwulan</t>
  </si>
  <si>
    <t>Tugu</t>
  </si>
  <si>
    <t>Purwosari</t>
  </si>
  <si>
    <t>Timbulsloko</t>
  </si>
  <si>
    <t>Sidogemah</t>
  </si>
  <si>
    <t>Tambakroto</t>
  </si>
  <si>
    <t xml:space="preserve">Kalisari </t>
  </si>
  <si>
    <t>Dombo</t>
  </si>
  <si>
    <t>Bulusari</t>
  </si>
  <si>
    <t>Jetaksari</t>
  </si>
  <si>
    <t>Karangasem</t>
  </si>
  <si>
    <t>Prampelan</t>
  </si>
  <si>
    <t>Sayung</t>
  </si>
  <si>
    <t>Pilangsari</t>
  </si>
  <si>
    <t>loireng</t>
  </si>
  <si>
    <t>Wedung</t>
  </si>
  <si>
    <t>Ruwit</t>
  </si>
  <si>
    <t>Bungo</t>
  </si>
  <si>
    <t>Ngawen</t>
  </si>
  <si>
    <t>Kenduren</t>
  </si>
  <si>
    <t>Buko</t>
  </si>
  <si>
    <t>Mandung</t>
  </si>
  <si>
    <t>Berahan Wtn</t>
  </si>
  <si>
    <t>Berahan Kln</t>
  </si>
  <si>
    <t>Tempel</t>
  </si>
  <si>
    <t>Jungsemi</t>
  </si>
  <si>
    <t>Jetak</t>
  </si>
  <si>
    <t>Jungpasir</t>
  </si>
  <si>
    <t>Mutih kulon</t>
  </si>
  <si>
    <t>Mutih Wetan</t>
  </si>
  <si>
    <t>Kendalasem</t>
  </si>
  <si>
    <t>Babalan</t>
  </si>
  <si>
    <t>Tedunan</t>
  </si>
  <si>
    <t>JUMLAH</t>
  </si>
  <si>
    <t>DATA DESA ENDEMIS /SPORADIS DBD</t>
  </si>
  <si>
    <t>DESA</t>
  </si>
  <si>
    <t>1</t>
  </si>
  <si>
    <t xml:space="preserve">Kembangarum </t>
  </si>
  <si>
    <t>2</t>
  </si>
  <si>
    <t>3</t>
  </si>
  <si>
    <t>4</t>
  </si>
  <si>
    <t>Karangsari</t>
  </si>
  <si>
    <t>5</t>
  </si>
  <si>
    <t>Tambakbulusan</t>
  </si>
  <si>
    <t>6</t>
  </si>
  <si>
    <t>7</t>
  </si>
  <si>
    <t>8</t>
  </si>
  <si>
    <t>9</t>
  </si>
  <si>
    <t>10</t>
  </si>
  <si>
    <t>11</t>
  </si>
  <si>
    <t>12</t>
  </si>
  <si>
    <t>13</t>
  </si>
  <si>
    <t>14</t>
  </si>
  <si>
    <t>15</t>
  </si>
  <si>
    <t>Tuwang</t>
  </si>
  <si>
    <t>16</t>
  </si>
  <si>
    <t>17</t>
  </si>
  <si>
    <t>18</t>
  </si>
  <si>
    <t>19</t>
  </si>
  <si>
    <t>20</t>
  </si>
  <si>
    <t>21</t>
  </si>
  <si>
    <t>22</t>
  </si>
  <si>
    <t>23</t>
  </si>
  <si>
    <t>24</t>
  </si>
  <si>
    <t>25</t>
  </si>
  <si>
    <t>26</t>
  </si>
  <si>
    <t>27</t>
  </si>
  <si>
    <t>28</t>
  </si>
  <si>
    <t>29</t>
  </si>
  <si>
    <t>30</t>
  </si>
  <si>
    <t>31</t>
  </si>
  <si>
    <t xml:space="preserve">DATA DESA DG PETUGAS PPJ </t>
  </si>
  <si>
    <t xml:space="preserve">Jatirogo </t>
  </si>
  <si>
    <t>PDP</t>
  </si>
  <si>
    <t>ODP</t>
  </si>
  <si>
    <t>Karangrowo</t>
  </si>
  <si>
    <t>Kendaldoyong</t>
  </si>
  <si>
    <t>Kedunguter</t>
  </si>
  <si>
    <t>Karangtowo</t>
  </si>
  <si>
    <t>KedungMutih</t>
  </si>
  <si>
    <t>Kedungkarang</t>
  </si>
  <si>
    <t>Cangkring Rembang</t>
  </si>
  <si>
    <t>Ngemplik Wetan</t>
  </si>
  <si>
    <t>KARANGAWEN</t>
  </si>
  <si>
    <t>DEMAK</t>
  </si>
  <si>
    <t>GUNTUR</t>
  </si>
  <si>
    <t>SAYUNG</t>
  </si>
  <si>
    <t>WONOSALAM</t>
  </si>
  <si>
    <t>KEBONAGUNG</t>
  </si>
  <si>
    <t>DEMPET</t>
  </si>
  <si>
    <t>GAJAH</t>
  </si>
  <si>
    <t>MIJEN</t>
  </si>
  <si>
    <t>KARANGANYAR</t>
  </si>
  <si>
    <t>BONANG</t>
  </si>
  <si>
    <t>WEDUNG</t>
  </si>
  <si>
    <t>LUAR WILAYAH</t>
  </si>
  <si>
    <t>Kotakan</t>
  </si>
  <si>
    <t>MENINGGAL</t>
  </si>
  <si>
    <t>TERKONFIRMASI YANG DI RAWAT DI LUAR DEMAK</t>
  </si>
  <si>
    <t>TGL :</t>
  </si>
  <si>
    <t>KONFIRMASI  YANG DI TEMUKAN DI DEMAK</t>
  </si>
  <si>
    <t>KONFIRMASI YANG DI RARAT D DEMAK</t>
  </si>
  <si>
    <t>,</t>
  </si>
  <si>
    <t>OTG</t>
  </si>
  <si>
    <t>SEMBUH LUAR DAERAH</t>
  </si>
  <si>
    <t>SEMBUH DALAM DAERAH</t>
  </si>
  <si>
    <t>L</t>
  </si>
  <si>
    <t>RSUD Sunan Kalijaga Demak</t>
  </si>
  <si>
    <t>P</t>
  </si>
  <si>
    <t>-</t>
  </si>
  <si>
    <t>MRANGGEN</t>
  </si>
  <si>
    <t>ISOLASI MANDIRI</t>
  </si>
  <si>
    <t>demak</t>
  </si>
  <si>
    <t>RSUD K.R.M.T Wongsonegoro Semarang</t>
  </si>
  <si>
    <t>SULASTRI</t>
  </si>
  <si>
    <t>DARMAN</t>
  </si>
  <si>
    <t>0813-2545-0942</t>
  </si>
  <si>
    <t>ABDUL AZIZ</t>
  </si>
  <si>
    <t>REJOSARI RT05/01</t>
  </si>
  <si>
    <t>COVID Isolasi Mandiri</t>
  </si>
  <si>
    <t>SUYANTO, TN</t>
  </si>
  <si>
    <t>RS Nasional Diponegoro</t>
  </si>
  <si>
    <t>WRINGIN JAJAR RT -8/03 KEL. WRINGIN JAJAR, KEC. MRANGGEN</t>
  </si>
  <si>
    <t>Demam,Batuk</t>
  </si>
  <si>
    <t>Kedungmutih 01/02 wedung demak</t>
  </si>
  <si>
    <t>0821-3664-1181</t>
  </si>
  <si>
    <t>Sesak Napas</t>
  </si>
  <si>
    <t>Rumah</t>
  </si>
  <si>
    <t>YULI SUGIHARTI</t>
  </si>
  <si>
    <t>Demam</t>
  </si>
  <si>
    <t>0813-8349-4033</t>
  </si>
  <si>
    <t>Lain - Lain</t>
  </si>
  <si>
    <t>JAMBARI, TN</t>
  </si>
  <si>
    <t>M. ZUHRI</t>
  </si>
  <si>
    <t>0812-2953-7707</t>
  </si>
  <si>
    <t>Lemas</t>
  </si>
  <si>
    <t>SUMARTO</t>
  </si>
  <si>
    <t>0884-2711-4922</t>
  </si>
  <si>
    <t>SRI WAHYUNI</t>
  </si>
  <si>
    <t>KALISARI</t>
  </si>
  <si>
    <t>SUMBEREJO</t>
  </si>
  <si>
    <t>PURWOSARI</t>
  </si>
  <si>
    <t>SIDOGEMAH</t>
  </si>
  <si>
    <t>GEMULAK</t>
  </si>
  <si>
    <t>SRIWULAN</t>
  </si>
  <si>
    <t>DONOREJO</t>
  </si>
  <si>
    <t>REJOSARI</t>
  </si>
  <si>
    <t>BATURSARI</t>
  </si>
  <si>
    <t>MENUR</t>
  </si>
  <si>
    <t>WRINGINJAJAR</t>
  </si>
  <si>
    <t>SIDOREJO</t>
  </si>
  <si>
    <t>Dinkes Demak</t>
  </si>
  <si>
    <t>KEMBANGARUM</t>
  </si>
  <si>
    <t>jateng</t>
  </si>
  <si>
    <t>LOIRENG</t>
  </si>
  <si>
    <t>KEDUNGMUTIH</t>
  </si>
  <si>
    <t>ISOLASI MANDIRI LUAR</t>
  </si>
  <si>
    <t>BAMBANG SUJATMIKO</t>
  </si>
  <si>
    <t>0821-3262-6204-5</t>
  </si>
  <si>
    <t>KANGKUNG</t>
  </si>
  <si>
    <t>PONO</t>
  </si>
  <si>
    <t>JRAGUNG RT02/17</t>
  </si>
  <si>
    <t>Mual</t>
  </si>
  <si>
    <t>MAHARANI PUSPITASARI</t>
  </si>
  <si>
    <t>SYAFIUDIN</t>
  </si>
  <si>
    <t>SUMBEREJO RT02/08</t>
  </si>
  <si>
    <t>0813-2760-7087</t>
  </si>
  <si>
    <t>Sakit Perut,Sesak Napas</t>
  </si>
  <si>
    <t>SRIWULAN RT08/01</t>
  </si>
  <si>
    <t>0857-4362-6762</t>
  </si>
  <si>
    <t>Demam,Batuk,Sakit Tenggorokan,Pilek</t>
  </si>
  <si>
    <t>JRAGUNG</t>
  </si>
  <si>
    <t>JETAKSARI</t>
  </si>
  <si>
    <t>M. RUMAJI</t>
  </si>
  <si>
    <t>KEMBANGARUM RT11/12</t>
  </si>
  <si>
    <t>0823-2577-3548</t>
  </si>
  <si>
    <t>2020-06-21 00:00:00</t>
  </si>
  <si>
    <t>2020-06-22 00:00:00</t>
  </si>
  <si>
    <t>2020-06-17 00:00:00</t>
  </si>
  <si>
    <t>SUGIYARTI</t>
  </si>
  <si>
    <t>0858-4292-4931</t>
  </si>
  <si>
    <t>2020-06-12 00:00:00</t>
  </si>
  <si>
    <t>TELUK</t>
  </si>
  <si>
    <t>TELUK KAJAR RT03/05</t>
  </si>
  <si>
    <t>0896-3890-847</t>
  </si>
  <si>
    <t>Mual,Demam</t>
  </si>
  <si>
    <t>2020-06-16 00:00:00</t>
  </si>
  <si>
    <t>MIR`AH</t>
  </si>
  <si>
    <t>SIDOREJO RT02/04</t>
  </si>
  <si>
    <t>0823-0604-2525</t>
  </si>
  <si>
    <t>2020-06-15 00:00:00</t>
  </si>
  <si>
    <t>MUHAMAD TOPIK HIDAYAT</t>
  </si>
  <si>
    <t>PRIGI RT05/06</t>
  </si>
  <si>
    <t>2020-06-26 00:00:00</t>
  </si>
  <si>
    <t>COVID Sembuh</t>
  </si>
  <si>
    <t>Kembangarum</t>
  </si>
  <si>
    <t>CABEAN</t>
  </si>
  <si>
    <t>PRAMPELAN</t>
  </si>
  <si>
    <t>TRENGGULI</t>
  </si>
  <si>
    <t>Kedungori</t>
  </si>
  <si>
    <t>2020-06-03 00:00:00</t>
  </si>
  <si>
    <t xml:space="preserve">MRANGGEN </t>
  </si>
  <si>
    <t>TOTAL</t>
  </si>
  <si>
    <t>Betty Diah Novita</t>
  </si>
  <si>
    <t>3374016611730001</t>
  </si>
  <si>
    <t>Bukit seroja 2 no.178  4/2 Semarang</t>
  </si>
  <si>
    <t>0818828017733</t>
  </si>
  <si>
    <t>MONDOKERTO RT05/03</t>
  </si>
  <si>
    <t>2020-06-09 00:00:00</t>
  </si>
  <si>
    <t>0895-3840-0274-3</t>
  </si>
  <si>
    <t>2020-06-07 00:00:00</t>
  </si>
  <si>
    <t>Trengguli RT 03 RW 03 Wonosalam Demak</t>
  </si>
  <si>
    <t>2020-06-08 00:00:00</t>
  </si>
  <si>
    <t>KARANG RT04/05</t>
  </si>
  <si>
    <t>Lemas,Sakit Perut,Sesak Napas,Batuk,Demam</t>
  </si>
  <si>
    <t>0821-6053-0951</t>
  </si>
  <si>
    <t>KAYON RT03/01</t>
  </si>
  <si>
    <t>Batuk,Sesak Napas,Mual,Demam,Lemas</t>
  </si>
  <si>
    <t>Demam,Mual</t>
  </si>
  <si>
    <t>JL KH ABURROHMAN RT04/01</t>
  </si>
  <si>
    <t>Batuk,Sakit Tenggorokan</t>
  </si>
  <si>
    <t>LENGKONG RT02/05</t>
  </si>
  <si>
    <t>2020-06-02 00:00:00</t>
  </si>
  <si>
    <t>Demam,Batuk,Sesak Napas,Mual,Lemas,Sakit Kepala</t>
  </si>
  <si>
    <t>PUCANG GEDE RAYA NO 19 RT11/13</t>
  </si>
  <si>
    <t>2020-06-13 00:00:00</t>
  </si>
  <si>
    <t>Sesak Napas,Batuk,Sakit Kepala,Mual,Demam,Lemas</t>
  </si>
  <si>
    <t>0856-4059-2750</t>
  </si>
  <si>
    <t>Sakit Kepala,Demam</t>
  </si>
  <si>
    <t>RT.03 RW.06, Kel/Desa Cabean Kec. Demak</t>
  </si>
  <si>
    <t>SAWI</t>
  </si>
  <si>
    <t>DINKES PONTIANAK</t>
  </si>
  <si>
    <t>REKAPITULASI DATA SUSPECT DAN KONTAK ERAT</t>
  </si>
  <si>
    <t>NAMA</t>
  </si>
  <si>
    <t>KABUPATEN</t>
  </si>
  <si>
    <t>KELURAHAN</t>
  </si>
  <si>
    <t>ALAMAT</t>
  </si>
  <si>
    <t>UMUR</t>
  </si>
  <si>
    <t>JENIS KELAMIN</t>
  </si>
  <si>
    <t>NO. TELP</t>
  </si>
  <si>
    <t>STATUS</t>
  </si>
  <si>
    <t>TOTAL KECAMATAN</t>
  </si>
  <si>
    <t>REKAPITULASI DATA KONTAK ERAT</t>
  </si>
  <si>
    <t xml:space="preserve">TANGGAL </t>
  </si>
  <si>
    <t>NIK</t>
  </si>
  <si>
    <t>PEKERJAAN</t>
  </si>
  <si>
    <t>TEMPAT PEKERJAAN</t>
  </si>
  <si>
    <t>KONDISI UMUM</t>
  </si>
  <si>
    <t>PERSINGGAHAN</t>
  </si>
  <si>
    <t>RIWAYAT MEDIS</t>
  </si>
  <si>
    <t>FAKTOR RESIKO</t>
  </si>
  <si>
    <t>GEJALA</t>
  </si>
  <si>
    <t>TGL MULAI GEJALA</t>
  </si>
  <si>
    <t>RUMAH SAKIT</t>
  </si>
  <si>
    <t>TGL MASUK RS</t>
  </si>
  <si>
    <t>TGL KELUAR RS</t>
  </si>
  <si>
    <t>JUMLAH KONTAK</t>
  </si>
  <si>
    <t>TGL UPDATE</t>
  </si>
  <si>
    <t>TGL LAPOR SISTEM</t>
  </si>
  <si>
    <t>Kontak Erat Isolasi</t>
  </si>
  <si>
    <t>Karyawan Swasta</t>
  </si>
  <si>
    <t>TIDAK TAHU</t>
  </si>
  <si>
    <t>CAMPURAN ODP,OTG DAN KONTAK ERAT</t>
  </si>
  <si>
    <t>KONTAK ERAT</t>
  </si>
  <si>
    <t>JAWA TENGAH</t>
  </si>
  <si>
    <t>PROVINSI</t>
  </si>
  <si>
    <t xml:space="preserve"> </t>
  </si>
  <si>
    <t>RT</t>
  </si>
  <si>
    <t>RW</t>
  </si>
  <si>
    <t>no</t>
  </si>
  <si>
    <t>PERSON ID</t>
  </si>
  <si>
    <t>KODE SAMPEL</t>
  </si>
  <si>
    <t>HASIL PEMERIKSAAN</t>
  </si>
  <si>
    <t>TANGGAL PEMERIKSAAN</t>
  </si>
  <si>
    <t>TGL INJECT NAR</t>
  </si>
  <si>
    <t>Bantengmati</t>
  </si>
  <si>
    <t>Kontak Erat Discard</t>
  </si>
  <si>
    <t>MASUK</t>
  </si>
  <si>
    <t>KELUAR</t>
  </si>
  <si>
    <t>TOTAL KONTAK ERAT</t>
  </si>
  <si>
    <t>Tidak Tahu</t>
  </si>
  <si>
    <t>0800</t>
  </si>
  <si>
    <t>baik</t>
  </si>
  <si>
    <t>Puskesmas Sayung 2</t>
  </si>
  <si>
    <t>TAMBAKROTO</t>
  </si>
  <si>
    <t>'3321042503850004</t>
  </si>
  <si>
    <t>ROHADI</t>
  </si>
  <si>
    <t>TIMBULSLOKO</t>
  </si>
  <si>
    <t>0882-3243-9105</t>
  </si>
  <si>
    <t>'3321041004000003</t>
  </si>
  <si>
    <t>ANWAR WACHID</t>
  </si>
  <si>
    <t>'3321045206910001</t>
  </si>
  <si>
    <t>NUR INAYAH</t>
  </si>
  <si>
    <t>JATI SELATAN</t>
  </si>
  <si>
    <t>'3321046611980001</t>
  </si>
  <si>
    <t>LAILATUL MU'ARIFAH</t>
  </si>
  <si>
    <t>JATI UTARA</t>
  </si>
  <si>
    <t>'3321045407610001</t>
  </si>
  <si>
    <t>KASTIMAH</t>
  </si>
  <si>
    <t>KARANGGENENG</t>
  </si>
  <si>
    <t>0822-2209-2577-9</t>
  </si>
  <si>
    <t>'3321040506550003</t>
  </si>
  <si>
    <t>MASHURI</t>
  </si>
  <si>
    <t>0813-5470-3433</t>
  </si>
  <si>
    <t>'3321042210990002</t>
  </si>
  <si>
    <t>MUCHAMMAD FARIKHIN</t>
  </si>
  <si>
    <t>0812-2503-6361</t>
  </si>
  <si>
    <t>'3321035103860004</t>
  </si>
  <si>
    <t>ISTIQOMAH</t>
  </si>
  <si>
    <t>BLERONG</t>
  </si>
  <si>
    <t>'3321042611920003</t>
  </si>
  <si>
    <t>ABDUL KOHAR</t>
  </si>
  <si>
    <t>DUKUHAN</t>
  </si>
  <si>
    <t>'3321044108790002</t>
  </si>
  <si>
    <t>ROFIATUN</t>
  </si>
  <si>
    <t>MANGGIAN</t>
  </si>
  <si>
    <t>'3321041004890006</t>
  </si>
  <si>
    <t>KASMIR</t>
  </si>
  <si>
    <t>0895-1733-6681</t>
  </si>
  <si>
    <t>'3321045306920004</t>
  </si>
  <si>
    <t>NIKMATUN</t>
  </si>
  <si>
    <t>'3321044404020003</t>
  </si>
  <si>
    <t>KHOIRUL MAHFIROH</t>
  </si>
  <si>
    <t>PILANGSARI</t>
  </si>
  <si>
    <t>PILANG III</t>
  </si>
  <si>
    <t>'3321045205010002</t>
  </si>
  <si>
    <t>DWI SETYONINGRUM</t>
  </si>
  <si>
    <t>SUKOSARI</t>
  </si>
  <si>
    <t>'3321041004890002</t>
  </si>
  <si>
    <t>AGUS SUWANTO</t>
  </si>
  <si>
    <t>0878-1765-9168</t>
  </si>
  <si>
    <t>'3374035403920002</t>
  </si>
  <si>
    <t>TITIS WULAN SUCI</t>
  </si>
  <si>
    <t>0877-2513-9712</t>
  </si>
  <si>
    <t>'3321114808860003</t>
  </si>
  <si>
    <t>WARDAH</t>
  </si>
  <si>
    <t>BINTORO</t>
  </si>
  <si>
    <t>YODHOMENGGALA</t>
  </si>
  <si>
    <t>0813-2628-8833</t>
  </si>
  <si>
    <t>'3321041612950007</t>
  </si>
  <si>
    <t>FIKY DHARMAWAN</t>
  </si>
  <si>
    <t>'3321044801940002</t>
  </si>
  <si>
    <t>USWATUN KHASANAH</t>
  </si>
  <si>
    <t>SAYUNG WETAN</t>
  </si>
  <si>
    <t>'3321041501990002</t>
  </si>
  <si>
    <t>FAHMY AMRULLAH</t>
  </si>
  <si>
    <t>'3321022003830007</t>
  </si>
  <si>
    <t>IHSAN YUSUF</t>
  </si>
  <si>
    <t>TLOGOREJO</t>
  </si>
  <si>
    <t>tlogorejo</t>
  </si>
  <si>
    <t>0815-7512-4500</t>
  </si>
  <si>
    <t>Puskesmas Singorojo 1</t>
  </si>
  <si>
    <t>6 DESEMBER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</si>
</sst>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5" formatCode="[$-F800]dddd\,\ mmmm\ dd\,\ yyyy"/>
    <numFmt numFmtId="166" formatCode="s\t\r"/>
    <numFmt numFmtId="167" formatCode="d/m/yy\ h:mm"/>
  </numFmts>
  <fonts count="20" x14ac:knownFonts="1">
    <font>
      <sz val="11"/>
      <color theme="1"/>
      <name val="Calibri"/>
      <family val="2"/>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b/>
      <sz val="11"/>
      <color theme="1"/>
      <name val="Calibri"/>
      <family val="2"/>
      <scheme val="minor"/>
    </font>
    <font>
      <b/>
      <sz val="10"/>
      <name val="Arial"/>
      <family val="2"/>
    </font>
    <font>
      <sz val="10"/>
      <name val="Arial"/>
      <family val="2"/>
    </font>
    <font>
      <sz val="11"/>
      <color rgb="FF000000"/>
      <name val="Calibri"/>
      <family val="2"/>
      <scheme val="minor"/>
    </font>
    <font>
      <sz val="11"/>
      <name val="Calibri"/>
      <family val="2"/>
      <scheme val="minor"/>
    </font>
    <font>
      <sz val="11"/>
      <color theme="1"/>
      <name val="Calibri"/>
      <family val="2"/>
      <scheme val="minor"/>
    </font>
    <font>
      <sz val="10"/>
      <name val="Arial"/>
      <family val="2"/>
    </font>
    <font>
      <b/>
      <sz val="12"/>
      <name val="Arial"/>
      <family val="2"/>
    </font>
    <font>
      <sz val="12"/>
      <name val="Arial"/>
      <family val="2"/>
    </font>
    <font>
      <sz val="11"/>
      <name val="Arial"/>
      <family val="2"/>
    </font>
    <font>
      <sz val="8"/>
      <name val="Calibri"/>
      <family val="2"/>
      <scheme val="minor"/>
    </font>
    <font>
      <sz val="12"/>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14">
    <xf numFmtId="0" fontId="0" fillId="0" borderId="0"/>
    <xf numFmtId="0" fontId="7" fillId="0" borderId="0"/>
    <xf numFmtId="0" fontId="6" fillId="0" borderId="0"/>
    <xf numFmtId="0" fontId="5" fillId="0" borderId="0"/>
    <xf numFmtId="0" fontId="4" fillId="0" borderId="0"/>
    <xf numFmtId="0" fontId="3" fillId="0" borderId="0"/>
    <xf numFmtId="164" fontId="2" fillId="0" borderId="0" applyFont="0" applyFill="0" applyBorder="0" applyAlignment="0" applyProtection="0"/>
    <xf numFmtId="0" fontId="14" fillId="0" borderId="0"/>
    <xf numFmtId="0" fontId="1" fillId="0" borderId="0"/>
    <xf numFmtId="0" fontId="1" fillId="0" borderId="0"/>
    <xf numFmtId="0" fontId="1" fillId="0" borderId="0"/>
    <xf numFmtId="0" fontId="1" fillId="0" borderId="0"/>
    <xf numFmtId="0" fontId="13" fillId="0" borderId="0"/>
    <xf numFmtId="9" fontId="10" fillId="0" borderId="0" applyFont="0" applyFill="0" applyBorder="0" applyAlignment="0" applyProtection="0"/>
  </cellStyleXfs>
  <cellXfs count="126">
    <xf numFmtId="0" fontId="0" fillId="0" borderId="0" xfId="0"/>
    <xf numFmtId="0" fontId="9" fillId="0" borderId="0" xfId="0" applyFont="1" applyAlignment="1"/>
    <xf numFmtId="0" fontId="0" fillId="0" borderId="6" xfId="0" applyBorder="1" applyAlignment="1">
      <alignment horizontal="left" vertical="justify" wrapText="1"/>
    </xf>
    <xf numFmtId="0" fontId="0" fillId="0" borderId="0" xfId="0" applyBorder="1" applyAlignment="1">
      <alignment horizontal="center" vertical="center"/>
    </xf>
    <xf numFmtId="0" fontId="0" fillId="0" borderId="0" xfId="0" applyAlignment="1">
      <alignment horizontal="left" vertical="justify"/>
    </xf>
    <xf numFmtId="0" fontId="0" fillId="0" borderId="5" xfId="0" applyBorder="1" applyAlignment="1">
      <alignment horizontal="center" vertical="justify"/>
    </xf>
    <xf numFmtId="0" fontId="0" fillId="0" borderId="5" xfId="0" applyBorder="1" applyAlignment="1">
      <alignment horizontal="center"/>
    </xf>
    <xf numFmtId="0" fontId="0" fillId="0" borderId="5" xfId="0" quotePrefix="1" applyBorder="1" applyAlignment="1">
      <alignment horizontal="left" vertical="justify"/>
    </xf>
    <xf numFmtId="0" fontId="0" fillId="0" borderId="5" xfId="0" applyBorder="1"/>
    <xf numFmtId="0" fontId="8" fillId="0" borderId="0" xfId="0" applyFont="1"/>
    <xf numFmtId="0" fontId="8" fillId="0" borderId="0" xfId="0" applyFont="1" applyBorder="1" applyAlignment="1">
      <alignment horizontal="left" vertical="center"/>
    </xf>
    <xf numFmtId="0" fontId="9" fillId="0" borderId="0" xfId="0" applyFont="1" applyFill="1" applyAlignment="1"/>
    <xf numFmtId="0" fontId="0" fillId="0" borderId="0" xfId="0" applyFill="1" applyAlignment="1">
      <alignment horizontal="center"/>
    </xf>
    <xf numFmtId="0" fontId="0" fillId="0" borderId="0" xfId="0" applyFill="1" applyBorder="1" applyAlignment="1">
      <alignment horizontal="center" vertical="center"/>
    </xf>
    <xf numFmtId="0" fontId="0" fillId="0" borderId="0" xfId="0" applyFill="1"/>
    <xf numFmtId="0" fontId="9" fillId="0" borderId="0" xfId="0" applyFont="1" applyAlignment="1">
      <alignment horizontal="centerContinuous" vertical="center"/>
    </xf>
    <xf numFmtId="0" fontId="0" fillId="0" borderId="6" xfId="0" applyFill="1" applyBorder="1" applyAlignment="1">
      <alignment horizontal="center" vertical="center" wrapText="1"/>
    </xf>
    <xf numFmtId="0" fontId="0" fillId="0" borderId="9" xfId="0" applyBorder="1" applyAlignment="1">
      <alignment horizontal="center" vertical="justify"/>
    </xf>
    <xf numFmtId="0" fontId="0" fillId="0" borderId="5" xfId="0" applyBorder="1" applyAlignment="1">
      <alignment horizontal="left" vertical="justify" wrapText="1"/>
    </xf>
    <xf numFmtId="0" fontId="9" fillId="0" borderId="0" xfId="0" applyFont="1" applyFill="1" applyAlignment="1">
      <alignment horizontal="centerContinuous" vertical="center"/>
    </xf>
    <xf numFmtId="0" fontId="0" fillId="0" borderId="8" xfId="0" applyBorder="1" applyAlignment="1"/>
    <xf numFmtId="0" fontId="0" fillId="0" borderId="10" xfId="0" applyBorder="1"/>
    <xf numFmtId="0" fontId="0" fillId="0" borderId="11" xfId="0" applyBorder="1"/>
    <xf numFmtId="0" fontId="0" fillId="0" borderId="12" xfId="0" applyBorder="1"/>
    <xf numFmtId="0" fontId="0" fillId="0" borderId="13" xfId="0" applyBorder="1" applyAlignment="1">
      <alignment horizontal="center" vertical="center"/>
    </xf>
    <xf numFmtId="0" fontId="9" fillId="0" borderId="14" xfId="0" applyFont="1" applyBorder="1" applyAlignment="1">
      <alignment horizontal="center" vertical="center" wrapText="1"/>
    </xf>
    <xf numFmtId="0" fontId="0" fillId="2" borderId="0" xfId="0" applyFill="1"/>
    <xf numFmtId="0" fontId="0" fillId="0" borderId="11" xfId="0" applyBorder="1" applyAlignment="1">
      <alignment horizontal="center"/>
    </xf>
    <xf numFmtId="0" fontId="0" fillId="0" borderId="11" xfId="0" applyFill="1" applyBorder="1"/>
    <xf numFmtId="0" fontId="0" fillId="0" borderId="12" xfId="0" applyFill="1" applyBorder="1"/>
    <xf numFmtId="0" fontId="0" fillId="0" borderId="13" xfId="0" applyFill="1" applyBorder="1" applyAlignment="1">
      <alignment horizontal="center" vertical="center"/>
    </xf>
    <xf numFmtId="0" fontId="9" fillId="0" borderId="5" xfId="0" applyFont="1" applyFill="1" applyBorder="1" applyAlignment="1">
      <alignment horizontal="center" vertical="center" wrapText="1"/>
    </xf>
    <xf numFmtId="0" fontId="0" fillId="0" borderId="0" xfId="0" applyFont="1" applyFill="1" applyAlignment="1">
      <alignment horizontal="center" wrapText="1"/>
    </xf>
    <xf numFmtId="0" fontId="0" fillId="0" borderId="0" xfId="0" applyFont="1" applyFill="1" applyAlignment="1">
      <alignment horizontal="left" wrapText="1"/>
    </xf>
    <xf numFmtId="0" fontId="0" fillId="0" borderId="5"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wrapText="1"/>
    </xf>
    <xf numFmtId="0" fontId="0" fillId="0" borderId="5" xfId="0" applyFont="1" applyFill="1" applyBorder="1" applyAlignment="1">
      <alignment horizontal="left" wrapText="1"/>
    </xf>
    <xf numFmtId="15" fontId="0" fillId="2" borderId="5" xfId="0" applyNumberFormat="1" applyFont="1" applyFill="1" applyBorder="1" applyAlignment="1">
      <alignment horizontal="left" vertical="center" wrapText="1"/>
    </xf>
    <xf numFmtId="0" fontId="0" fillId="2" borderId="5" xfId="0" applyFont="1" applyFill="1" applyBorder="1" applyAlignment="1">
      <alignment horizontal="center" vertical="center" wrapText="1"/>
    </xf>
    <xf numFmtId="0" fontId="0" fillId="2" borderId="5" xfId="0" applyFont="1" applyFill="1" applyBorder="1" applyAlignment="1">
      <alignment horizontal="left" vertical="center" wrapText="1"/>
    </xf>
    <xf numFmtId="164" fontId="0" fillId="0" borderId="0" xfId="0" applyNumberFormat="1"/>
    <xf numFmtId="0" fontId="0" fillId="0" borderId="5" xfId="0" applyFill="1" applyBorder="1"/>
    <xf numFmtId="0" fontId="0" fillId="0" borderId="7" xfId="0" applyFill="1" applyBorder="1" applyAlignment="1">
      <alignment horizontal="center" vertical="center"/>
    </xf>
    <xf numFmtId="0" fontId="9" fillId="0" borderId="0" xfId="0" applyFont="1" applyFill="1" applyBorder="1" applyAlignment="1">
      <alignment horizontal="center" vertical="center" wrapText="1"/>
    </xf>
    <xf numFmtId="15" fontId="12" fillId="4" borderId="5" xfId="0" applyNumberFormat="1" applyFont="1" applyFill="1" applyBorder="1" applyAlignment="1">
      <alignment horizontal="left" vertical="center" wrapText="1"/>
    </xf>
    <xf numFmtId="0" fontId="0" fillId="0" borderId="5" xfId="0" applyBorder="1" applyAlignment="1">
      <alignment horizontal="center" vertical="center" wrapText="1"/>
    </xf>
    <xf numFmtId="0" fontId="0" fillId="0" borderId="0" xfId="0" applyFill="1" applyAlignment="1">
      <alignment vertical="center"/>
    </xf>
    <xf numFmtId="0" fontId="0" fillId="0" borderId="5" xfId="0" applyFill="1" applyBorder="1" applyAlignment="1">
      <alignment horizontal="center"/>
    </xf>
    <xf numFmtId="0" fontId="0" fillId="0" borderId="1" xfId="0" applyFill="1" applyBorder="1"/>
    <xf numFmtId="49" fontId="0" fillId="0" borderId="8" xfId="0" applyNumberFormat="1" applyBorder="1" applyAlignment="1"/>
    <xf numFmtId="0" fontId="0" fillId="0" borderId="6" xfId="0" applyFill="1" applyBorder="1"/>
    <xf numFmtId="0" fontId="0" fillId="0" borderId="5" xfId="0" applyBorder="1" applyAlignment="1">
      <alignment horizontal="center" vertical="justify" wrapText="1"/>
    </xf>
    <xf numFmtId="0" fontId="0" fillId="0" borderId="5" xfId="0" applyBorder="1" applyAlignment="1">
      <alignment horizontal="left" vertical="justify"/>
    </xf>
    <xf numFmtId="0" fontId="0" fillId="0" borderId="5" xfId="0" applyBorder="1" applyAlignment="1">
      <alignment horizontal="left" vertical="center"/>
    </xf>
    <xf numFmtId="0" fontId="10" fillId="0" borderId="5" xfId="0" applyFont="1" applyFill="1" applyBorder="1"/>
    <xf numFmtId="0" fontId="10" fillId="2" borderId="5" xfId="0" applyFont="1" applyFill="1" applyBorder="1"/>
    <xf numFmtId="0" fontId="0" fillId="0" borderId="5" xfId="0" applyFill="1" applyBorder="1" applyAlignment="1">
      <alignment horizontal="center" vertical="justify" wrapText="1"/>
    </xf>
    <xf numFmtId="0" fontId="0" fillId="0" borderId="5" xfId="0" applyFill="1" applyBorder="1" applyAlignment="1">
      <alignment horizontal="left" vertical="justify" wrapText="1"/>
    </xf>
    <xf numFmtId="0" fontId="0" fillId="2" borderId="5" xfId="0" applyFill="1" applyBorder="1"/>
    <xf numFmtId="16" fontId="0" fillId="2" borderId="5" xfId="0" applyNumberFormat="1" applyFont="1" applyFill="1" applyBorder="1" applyAlignment="1">
      <alignment horizontal="left" vertical="center" wrapText="1"/>
    </xf>
    <xf numFmtId="0" fontId="12" fillId="2" borderId="5" xfId="0" applyFont="1" applyFill="1" applyBorder="1" applyAlignment="1">
      <alignment horizontal="left" vertical="center" wrapText="1"/>
    </xf>
    <xf numFmtId="0" fontId="0" fillId="0" borderId="5" xfId="0" applyFill="1" applyBorder="1" applyAlignment="1">
      <alignment horizontal="center" vertical="center"/>
    </xf>
    <xf numFmtId="0" fontId="0" fillId="0" borderId="5" xfId="0" applyFill="1" applyBorder="1" applyAlignment="1">
      <alignment horizontal="left" vertical="center"/>
    </xf>
    <xf numFmtId="165" fontId="0" fillId="0" borderId="5" xfId="0" applyNumberFormat="1" applyFill="1" applyBorder="1" applyAlignment="1">
      <alignment horizontal="center" vertical="center"/>
    </xf>
    <xf numFmtId="0" fontId="0"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14" fontId="0" fillId="0" borderId="0" xfId="0" applyNumberFormat="1"/>
    <xf numFmtId="1" fontId="0" fillId="0" borderId="0" xfId="0" applyNumberFormat="1"/>
    <xf numFmtId="0" fontId="16" fillId="0" borderId="0" xfId="0" applyFont="1"/>
    <xf numFmtId="0" fontId="16" fillId="0" borderId="0" xfId="0" applyFont="1" applyAlignment="1">
      <alignment vertical="center" wrapText="1"/>
    </xf>
    <xf numFmtId="0" fontId="16" fillId="0" borderId="5" xfId="0" applyFont="1" applyBorder="1" applyAlignment="1" applyProtection="1">
      <alignment horizontal="center" vertical="center"/>
      <protection locked="0"/>
    </xf>
    <xf numFmtId="0" fontId="16" fillId="0" borderId="5" xfId="0" applyFont="1" applyBorder="1" applyAlignment="1">
      <alignment horizontal="center"/>
    </xf>
    <xf numFmtId="14" fontId="16" fillId="0" borderId="5" xfId="0" applyNumberFormat="1" applyFont="1" applyBorder="1" applyAlignment="1" applyProtection="1">
      <alignment horizontal="center"/>
      <protection locked="0"/>
    </xf>
    <xf numFmtId="0" fontId="16" fillId="0" borderId="5" xfId="0" applyFont="1" applyBorder="1" applyAlignment="1" applyProtection="1">
      <alignment horizontal="center"/>
      <protection locked="0"/>
    </xf>
    <xf numFmtId="0" fontId="16" fillId="5" borderId="5" xfId="0" applyFont="1" applyFill="1" applyBorder="1" applyAlignment="1" applyProtection="1">
      <alignment horizontal="center"/>
      <protection locked="0"/>
    </xf>
    <xf numFmtId="0" fontId="17" fillId="0" borderId="5" xfId="0" applyFont="1" applyBorder="1" applyAlignment="1" applyProtection="1">
      <alignment horizontal="center" vertical="center" wrapText="1"/>
      <protection locked="0"/>
    </xf>
    <xf numFmtId="0" fontId="17" fillId="0" borderId="5" xfId="0" applyFont="1" applyBorder="1" applyAlignment="1">
      <alignment horizontal="center" vertical="center" wrapText="1"/>
    </xf>
    <xf numFmtId="0" fontId="11" fillId="2" borderId="5" xfId="0" applyFont="1" applyFill="1" applyBorder="1" applyAlignment="1">
      <alignment horizontal="center" vertical="center"/>
    </xf>
    <xf numFmtId="0" fontId="14" fillId="0" borderId="0" xfId="7" applyAlignment="1">
      <alignment horizontal="center" vertical="center"/>
    </xf>
    <xf numFmtId="0" fontId="14" fillId="0" borderId="0" xfId="7" applyFill="1" applyAlignment="1">
      <alignment horizontal="center" vertical="center"/>
    </xf>
    <xf numFmtId="166" fontId="0" fillId="0" borderId="0" xfId="0" applyNumberFormat="1"/>
    <xf numFmtId="167" fontId="0" fillId="0" borderId="0" xfId="0" applyNumberFormat="1"/>
    <xf numFmtId="14" fontId="0" fillId="0" borderId="0" xfId="0" applyNumberFormat="1"/>
    <xf numFmtId="0" fontId="17" fillId="2" borderId="5" xfId="0" applyFont="1" applyFill="1" applyBorder="1" applyAlignment="1" applyProtection="1">
      <alignment horizontal="center" vertical="center" wrapText="1"/>
      <protection locked="0"/>
    </xf>
    <xf numFmtId="0" fontId="17" fillId="2" borderId="5" xfId="0" applyFont="1" applyFill="1" applyBorder="1" applyAlignment="1">
      <alignment horizontal="center" vertical="center" wrapText="1"/>
    </xf>
    <xf numFmtId="0" fontId="16" fillId="6" borderId="5" xfId="0" applyFont="1" applyFill="1" applyBorder="1" applyAlignment="1" applyProtection="1">
      <alignment horizontal="center" vertical="center"/>
      <protection locked="0"/>
    </xf>
    <xf numFmtId="14" fontId="16" fillId="6" borderId="5" xfId="0" applyNumberFormat="1" applyFont="1" applyFill="1" applyBorder="1" applyAlignment="1" applyProtection="1">
      <alignment horizontal="center"/>
      <protection locked="0"/>
    </xf>
    <xf numFmtId="0" fontId="16" fillId="6" borderId="5" xfId="0" applyFont="1" applyFill="1" applyBorder="1" applyAlignment="1">
      <alignment horizontal="center"/>
    </xf>
    <xf numFmtId="0" fontId="16" fillId="6" borderId="0" xfId="0" applyFont="1" applyFill="1"/>
    <xf numFmtId="0" fontId="0" fillId="0" borderId="5" xfId="0" applyFill="1" applyBorder="1" applyAlignment="1">
      <alignment vertical="center"/>
    </xf>
    <xf numFmtId="0" fontId="0" fillId="0" borderId="1" xfId="0" applyFill="1" applyBorder="1" applyAlignment="1">
      <alignment horizontal="center"/>
    </xf>
    <xf numFmtId="0" fontId="0" fillId="0" borderId="1" xfId="0" applyFill="1" applyBorder="1" applyAlignment="1">
      <alignment horizontal="center" vertical="center"/>
    </xf>
    <xf numFmtId="0" fontId="0" fillId="0" borderId="6" xfId="0" applyFill="1" applyBorder="1" applyAlignment="1">
      <alignment horizontal="center"/>
    </xf>
    <xf numFmtId="0" fontId="16" fillId="0" borderId="0" xfId="0" applyFont="1" applyBorder="1" applyAlignment="1" applyProtection="1">
      <alignment horizontal="center" vertical="center" wrapText="1"/>
      <protection locked="0"/>
    </xf>
    <xf numFmtId="0" fontId="16" fillId="0" borderId="0" xfId="0" applyFont="1" applyBorder="1"/>
    <xf numFmtId="0" fontId="0" fillId="0" borderId="0" xfId="0" applyBorder="1" applyAlignment="1">
      <alignment horizontal="left"/>
    </xf>
    <xf numFmtId="0" fontId="0" fillId="0" borderId="0" xfId="0" applyBorder="1"/>
    <xf numFmtId="0" fontId="0" fillId="0" borderId="0" xfId="0" pivotButton="1"/>
    <xf numFmtId="0" fontId="0" fillId="0" borderId="0" xfId="0" pivotButton="1" applyBorder="1"/>
    <xf numFmtId="0" fontId="16" fillId="0" borderId="0" xfId="0" pivotButton="1" applyFont="1" applyBorder="1"/>
    <xf numFmtId="0" fontId="16" fillId="0" borderId="0" xfId="0" pivotButton="1" applyFont="1"/>
    <xf numFmtId="0" fontId="19" fillId="0" borderId="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10" fillId="0" borderId="2" xfId="0" applyFont="1" applyBorder="1" applyAlignment="1">
      <alignment horizontal="center" vertical="center"/>
    </xf>
    <xf numFmtId="0" fontId="0" fillId="0" borderId="3" xfId="0" applyBorder="1" applyAlignment="1">
      <alignment horizontal="center" vertical="center"/>
    </xf>
    <xf numFmtId="0" fontId="0" fillId="0" borderId="0" xfId="0" applyFill="1" applyBorder="1" applyAlignment="1">
      <alignment horizontal="center" vertical="justify"/>
    </xf>
    <xf numFmtId="0" fontId="0" fillId="3" borderId="5" xfId="0" applyFill="1" applyBorder="1" applyAlignment="1">
      <alignment horizontal="center" vertical="center"/>
    </xf>
    <xf numFmtId="0" fontId="0" fillId="3" borderId="1" xfId="0" applyFill="1" applyBorder="1" applyAlignment="1">
      <alignment horizontal="center" vertical="center" wrapText="1"/>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5" xfId="0" applyFill="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Alignment="1">
      <alignment horizontal="center" vertical="center"/>
    </xf>
    <xf numFmtId="165" fontId="0" fillId="0" borderId="8" xfId="0" applyNumberFormat="1" applyFill="1" applyBorder="1" applyAlignment="1">
      <alignment horizontal="left"/>
    </xf>
    <xf numFmtId="0" fontId="15" fillId="0" borderId="0" xfId="0" applyFont="1" applyBorder="1" applyAlignment="1" applyProtection="1">
      <alignment horizontal="center" vertical="center" wrapText="1"/>
      <protection locked="0"/>
    </xf>
    <xf numFmtId="0" fontId="16" fillId="0" borderId="8" xfId="0" applyFont="1" applyBorder="1" applyAlignment="1" applyProtection="1">
      <alignment horizontal="center" vertical="center" wrapText="1"/>
      <protection locked="0"/>
    </xf>
    <xf numFmtId="164" fontId="0" fillId="0" borderId="5" xfId="0" applyNumberFormat="1" applyBorder="1"/>
  </cellXfs>
  <cellStyles count="14">
    <cellStyle name="Comma [0] 2" xfId="6"/>
    <cellStyle name="Normal" xfId="0" builtinId="0"/>
    <cellStyle name="Normal 10" xfId="8"/>
    <cellStyle name="Normal 13" xfId="9"/>
    <cellStyle name="Normal 2" xfId="4"/>
    <cellStyle name="Normal 3" xfId="7"/>
    <cellStyle name="Normal 4" xfId="10"/>
    <cellStyle name="Normal 5" xfId="2"/>
    <cellStyle name="Normal 6" xfId="1"/>
    <cellStyle name="Normal 6 2" xfId="3"/>
    <cellStyle name="Normal 6 3" xfId="5"/>
    <cellStyle name="Normal 7" xfId="11"/>
    <cellStyle name="Normal 8" xfId="12"/>
    <cellStyle name="Percent 2" xfId="13"/>
  </cellStyles>
  <dxfs count="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b val="0"/>
        <i val="0"/>
        <strike val="0"/>
        <condense val="0"/>
        <extend val="0"/>
        <outline val="0"/>
        <shadow val="0"/>
        <u val="none"/>
        <vertAlign val="baseline"/>
        <sz val="11"/>
        <color rgb="FF9C0006"/>
        <name val="Calibri"/>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265</xdr:row>
      <xdr:rowOff>142875</xdr:rowOff>
    </xdr:from>
    <xdr:to>
      <xdr:col>3</xdr:col>
      <xdr:colOff>85725</xdr:colOff>
      <xdr:row>265</xdr:row>
      <xdr:rowOff>147447</xdr:rowOff>
    </xdr:to>
    <xdr:sp macro="" textlink="">
      <xdr:nvSpPr>
        <xdr:cNvPr id="2" name="Text Box 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1314450" y="51215925"/>
          <a:ext cx="85725" cy="4572"/>
        </a:xfrm>
        <a:prstGeom prst="rect">
          <a:avLst/>
        </a:prstGeom>
        <a:noFill/>
        <a:ln w="9525">
          <a:noFill/>
          <a:miter lim="800000"/>
          <a:headEnd/>
          <a:tailEnd/>
        </a:ln>
      </xdr:spPr>
    </xdr:sp>
    <xdr:clientData/>
  </xdr:twoCellAnchor>
  <xdr:twoCellAnchor editAs="oneCell">
    <xdr:from>
      <xdr:col>3</xdr:col>
      <xdr:colOff>0</xdr:colOff>
      <xdr:row>264</xdr:row>
      <xdr:rowOff>142875</xdr:rowOff>
    </xdr:from>
    <xdr:to>
      <xdr:col>3</xdr:col>
      <xdr:colOff>85725</xdr:colOff>
      <xdr:row>264</xdr:row>
      <xdr:rowOff>147447</xdr:rowOff>
    </xdr:to>
    <xdr:sp macro="" textlink="">
      <xdr:nvSpPr>
        <xdr:cNvPr id="3" name="Text Box 2">
          <a:extLst>
            <a:ext uri="{FF2B5EF4-FFF2-40B4-BE49-F238E27FC236}">
              <a16:creationId xmlns:a16="http://schemas.microsoft.com/office/drawing/2014/main" xmlns="" id="{00000000-0008-0000-0100-000003000000}"/>
            </a:ext>
          </a:extLst>
        </xdr:cNvPr>
        <xdr:cNvSpPr txBox="1">
          <a:spLocks noChangeArrowheads="1"/>
        </xdr:cNvSpPr>
      </xdr:nvSpPr>
      <xdr:spPr bwMode="auto">
        <a:xfrm>
          <a:off x="1314450" y="51025425"/>
          <a:ext cx="85725" cy="4572"/>
        </a:xfrm>
        <a:prstGeom prst="rect">
          <a:avLst/>
        </a:prstGeom>
        <a:noFill/>
        <a:ln w="9525">
          <a:noFill/>
          <a:miter lim="800000"/>
          <a:headEnd/>
          <a:tailEnd/>
        </a:ln>
      </xdr:spPr>
    </xdr:sp>
    <xdr:clientData/>
  </xdr:twoCellAnchor>
  <xdr:twoCellAnchor editAs="oneCell">
    <xdr:from>
      <xdr:col>5</xdr:col>
      <xdr:colOff>0</xdr:colOff>
      <xdr:row>265</xdr:row>
      <xdr:rowOff>142875</xdr:rowOff>
    </xdr:from>
    <xdr:to>
      <xdr:col>17</xdr:col>
      <xdr:colOff>88773</xdr:colOff>
      <xdr:row>265</xdr:row>
      <xdr:rowOff>147447</xdr:rowOff>
    </xdr:to>
    <xdr:sp macro="" textlink="">
      <xdr:nvSpPr>
        <xdr:cNvPr id="4" name="Text Box 1">
          <a:extLst>
            <a:ext uri="{FF2B5EF4-FFF2-40B4-BE49-F238E27FC236}">
              <a16:creationId xmlns:a16="http://schemas.microsoft.com/office/drawing/2014/main" xmlns="" id="{00000000-0008-0000-0100-000004000000}"/>
            </a:ext>
          </a:extLst>
        </xdr:cNvPr>
        <xdr:cNvSpPr txBox="1">
          <a:spLocks noChangeArrowheads="1"/>
        </xdr:cNvSpPr>
      </xdr:nvSpPr>
      <xdr:spPr bwMode="auto">
        <a:xfrm>
          <a:off x="4629150" y="51215925"/>
          <a:ext cx="88773" cy="4572"/>
        </a:xfrm>
        <a:prstGeom prst="rect">
          <a:avLst/>
        </a:prstGeom>
        <a:noFill/>
        <a:ln w="9525">
          <a:noFill/>
          <a:miter lim="800000"/>
          <a:headEnd/>
          <a:tailEnd/>
        </a:ln>
      </xdr:spPr>
    </xdr:sp>
    <xdr:clientData/>
  </xdr:twoCellAnchor>
  <xdr:twoCellAnchor editAs="oneCell">
    <xdr:from>
      <xdr:col>5</xdr:col>
      <xdr:colOff>0</xdr:colOff>
      <xdr:row>264</xdr:row>
      <xdr:rowOff>142875</xdr:rowOff>
    </xdr:from>
    <xdr:to>
      <xdr:col>17</xdr:col>
      <xdr:colOff>88773</xdr:colOff>
      <xdr:row>264</xdr:row>
      <xdr:rowOff>147447</xdr:rowOff>
    </xdr:to>
    <xdr:sp macro="" textlink="">
      <xdr:nvSpPr>
        <xdr:cNvPr id="5" name="Text Box 2">
          <a:extLst>
            <a:ext uri="{FF2B5EF4-FFF2-40B4-BE49-F238E27FC236}">
              <a16:creationId xmlns:a16="http://schemas.microsoft.com/office/drawing/2014/main" xmlns="" id="{00000000-0008-0000-0100-000005000000}"/>
            </a:ext>
          </a:extLst>
        </xdr:cNvPr>
        <xdr:cNvSpPr txBox="1">
          <a:spLocks noChangeArrowheads="1"/>
        </xdr:cNvSpPr>
      </xdr:nvSpPr>
      <xdr:spPr bwMode="auto">
        <a:xfrm>
          <a:off x="4629150" y="51025425"/>
          <a:ext cx="88773" cy="4572"/>
        </a:xfrm>
        <a:prstGeom prst="rect">
          <a:avLst/>
        </a:prstGeom>
        <a:noFill/>
        <a:ln w="9525">
          <a:noFill/>
          <a:miter lim="800000"/>
          <a:headEnd/>
          <a:tailEnd/>
        </a:ln>
      </xdr:spPr>
    </xdr:sp>
    <xdr:clientData/>
  </xdr:twoCellAnchor>
  <xdr:twoCellAnchor editAs="oneCell">
    <xdr:from>
      <xdr:col>5</xdr:col>
      <xdr:colOff>38100</xdr:colOff>
      <xdr:row>265</xdr:row>
      <xdr:rowOff>142875</xdr:rowOff>
    </xdr:from>
    <xdr:to>
      <xdr:col>17</xdr:col>
      <xdr:colOff>88773</xdr:colOff>
      <xdr:row>265</xdr:row>
      <xdr:rowOff>147447</xdr:rowOff>
    </xdr:to>
    <xdr:sp macro="" textlink="">
      <xdr:nvSpPr>
        <xdr:cNvPr id="6" name="Text Box 1">
          <a:extLst>
            <a:ext uri="{FF2B5EF4-FFF2-40B4-BE49-F238E27FC236}">
              <a16:creationId xmlns:a16="http://schemas.microsoft.com/office/drawing/2014/main" xmlns="" id="{00000000-0008-0000-0100-000006000000}"/>
            </a:ext>
          </a:extLst>
        </xdr:cNvPr>
        <xdr:cNvSpPr txBox="1">
          <a:spLocks noChangeArrowheads="1"/>
        </xdr:cNvSpPr>
      </xdr:nvSpPr>
      <xdr:spPr bwMode="auto">
        <a:xfrm>
          <a:off x="4631531" y="51220688"/>
          <a:ext cx="88773" cy="4572"/>
        </a:xfrm>
        <a:prstGeom prst="rect">
          <a:avLst/>
        </a:prstGeom>
        <a:noFill/>
        <a:ln w="9525">
          <a:noFill/>
          <a:miter lim="800000"/>
          <a:headEnd/>
          <a:tailEnd/>
        </a:ln>
      </xdr:spPr>
    </xdr:sp>
    <xdr:clientData/>
  </xdr:twoCellAnchor>
  <xdr:twoCellAnchor editAs="oneCell">
    <xdr:from>
      <xdr:col>5</xdr:col>
      <xdr:colOff>38100</xdr:colOff>
      <xdr:row>264</xdr:row>
      <xdr:rowOff>142875</xdr:rowOff>
    </xdr:from>
    <xdr:to>
      <xdr:col>17</xdr:col>
      <xdr:colOff>88773</xdr:colOff>
      <xdr:row>264</xdr:row>
      <xdr:rowOff>147447</xdr:rowOff>
    </xdr:to>
    <xdr:sp macro="" textlink="">
      <xdr:nvSpPr>
        <xdr:cNvPr id="7" name="Text Box 2">
          <a:extLst>
            <a:ext uri="{FF2B5EF4-FFF2-40B4-BE49-F238E27FC236}">
              <a16:creationId xmlns:a16="http://schemas.microsoft.com/office/drawing/2014/main" xmlns="" id="{00000000-0008-0000-0100-000007000000}"/>
            </a:ext>
          </a:extLst>
        </xdr:cNvPr>
        <xdr:cNvSpPr txBox="1">
          <a:spLocks noChangeArrowheads="1"/>
        </xdr:cNvSpPr>
      </xdr:nvSpPr>
      <xdr:spPr bwMode="auto">
        <a:xfrm>
          <a:off x="4631531" y="51030188"/>
          <a:ext cx="88773" cy="4572"/>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4"/>
  <sheetViews>
    <sheetView zoomScale="80" zoomScaleNormal="80" workbookViewId="0">
      <selection activeCell="AE2" sqref="AE2:AE22"/>
    </sheetView>
  </sheetViews>
  <sheetFormatPr defaultColWidth="9.140625" defaultRowHeight="12.75" x14ac:dyDescent="0.25"/>
  <cols>
    <col min="1" max="1" width="7.28515625" style="80" customWidth="1"/>
    <col min="2" max="2" width="43.85546875" style="80" customWidth="1"/>
    <col min="3" max="3" width="20" style="80" customWidth="1"/>
    <col min="4" max="4" width="14.42578125" style="80" customWidth="1"/>
    <col min="5" max="5" width="19.140625" style="80" customWidth="1"/>
    <col min="6" max="6" width="25.140625" style="80" customWidth="1"/>
    <col min="7" max="7" width="32.7109375" style="80" customWidth="1"/>
    <col min="8" max="8" width="31.42578125" style="80" customWidth="1"/>
    <col min="9" max="9" width="48.42578125" style="80" customWidth="1"/>
    <col min="10" max="10" width="22.28515625" style="80" customWidth="1"/>
    <col min="11" max="11" width="20.5703125" style="80" customWidth="1"/>
    <col min="12" max="12" width="21.140625" style="80" customWidth="1"/>
    <col min="13" max="13" width="14.7109375" style="80" customWidth="1"/>
    <col min="14" max="14" width="19" style="80" customWidth="1"/>
    <col min="15" max="15" width="12" style="80" customWidth="1"/>
    <col min="16" max="16" width="14.85546875" style="80" customWidth="1"/>
    <col min="17" max="19" width="9.140625" style="80"/>
    <col min="20" max="20" width="15.5703125" style="80" customWidth="1"/>
    <col min="21" max="21" width="15.140625" style="80" customWidth="1"/>
    <col min="22" max="22" width="18.42578125" style="80" customWidth="1"/>
    <col min="23" max="23" width="11.7109375" style="80" customWidth="1"/>
    <col min="24" max="24" width="16.7109375" style="80" customWidth="1"/>
    <col min="25" max="25" width="9.140625" style="80"/>
    <col min="26" max="26" width="22.5703125" style="80" customWidth="1"/>
    <col min="27" max="29" width="24.7109375" style="80" customWidth="1"/>
    <col min="30" max="31" width="20.140625" style="81" customWidth="1"/>
    <col min="32" max="16384" width="9.140625" style="80"/>
  </cols>
  <sheetData>
    <row r="1" spans="1:31" customFormat="1" ht="15" x14ac:dyDescent="0.25">
      <c r="A1" t="s">
        <v>467</v>
      </c>
      <c r="B1" t="s">
        <v>431</v>
      </c>
      <c r="C1" t="s">
        <v>463</v>
      </c>
      <c r="D1" t="s">
        <v>432</v>
      </c>
      <c r="E1" t="s">
        <v>2</v>
      </c>
      <c r="F1" t="s">
        <v>433</v>
      </c>
      <c r="G1" t="s">
        <v>465</v>
      </c>
      <c r="H1" t="s">
        <v>466</v>
      </c>
      <c r="I1" t="s">
        <v>434</v>
      </c>
      <c r="J1" t="s">
        <v>435</v>
      </c>
      <c r="K1" t="s">
        <v>436</v>
      </c>
      <c r="L1" t="s">
        <v>437</v>
      </c>
      <c r="M1" t="s">
        <v>443</v>
      </c>
      <c r="N1" t="s">
        <v>444</v>
      </c>
      <c r="O1" t="s">
        <v>445</v>
      </c>
      <c r="P1" t="s">
        <v>446</v>
      </c>
      <c r="Q1" t="s">
        <v>447</v>
      </c>
      <c r="R1" t="s">
        <v>448</v>
      </c>
      <c r="S1" t="s">
        <v>449</v>
      </c>
      <c r="T1" s="84" t="s">
        <v>450</v>
      </c>
      <c r="U1" t="s">
        <v>451</v>
      </c>
      <c r="V1" s="84" t="s">
        <v>452</v>
      </c>
      <c r="W1" s="84" t="s">
        <v>453</v>
      </c>
      <c r="X1" t="s">
        <v>438</v>
      </c>
      <c r="Y1" t="s">
        <v>469</v>
      </c>
      <c r="Z1" t="s">
        <v>470</v>
      </c>
      <c r="AA1" s="84" t="s">
        <v>471</v>
      </c>
      <c r="AB1" t="s">
        <v>454</v>
      </c>
      <c r="AC1" s="83" t="s">
        <v>455</v>
      </c>
      <c r="AD1" s="83" t="s">
        <v>456</v>
      </c>
      <c r="AE1" s="83" t="s">
        <v>442</v>
      </c>
    </row>
    <row r="2" spans="1:31" ht="15" x14ac:dyDescent="0.25">
      <c r="A2">
        <v>1</v>
      </c>
      <c r="B2" t="s">
        <v>484</v>
      </c>
      <c r="C2" t="s">
        <v>462</v>
      </c>
      <c r="D2" t="s">
        <v>282</v>
      </c>
      <c r="E2" t="s">
        <v>284</v>
      </c>
      <c r="F2" t="s">
        <v>485</v>
      </c>
      <c r="G2">
        <v>5</v>
      </c>
      <c r="H2">
        <v>1</v>
      </c>
      <c r="I2" t="s">
        <v>485</v>
      </c>
      <c r="J2">
        <v>36</v>
      </c>
      <c r="K2" t="s">
        <v>304</v>
      </c>
      <c r="L2" t="s">
        <v>486</v>
      </c>
      <c r="M2" t="s">
        <v>458</v>
      </c>
      <c r="N2" t="s">
        <v>459</v>
      </c>
      <c r="O2" t="s">
        <v>480</v>
      </c>
      <c r="P2"/>
      <c r="Q2"/>
      <c r="R2"/>
      <c r="S2"/>
      <c r="T2" s="84"/>
      <c r="U2" t="s">
        <v>481</v>
      </c>
      <c r="V2" s="84">
        <v>44519</v>
      </c>
      <c r="W2" s="84"/>
      <c r="X2" t="s">
        <v>457</v>
      </c>
      <c r="Y2"/>
      <c r="Z2"/>
      <c r="AA2" s="84"/>
      <c r="AB2">
        <v>0</v>
      </c>
      <c r="AC2" s="83">
        <v>44519.320983796002</v>
      </c>
      <c r="AD2" s="83">
        <v>44519.320983796002</v>
      </c>
      <c r="AE2" s="82" t="s">
        <v>483</v>
      </c>
    </row>
    <row r="3" spans="1:31" ht="15" x14ac:dyDescent="0.25">
      <c r="A3">
        <v>2</v>
      </c>
      <c r="B3" t="s">
        <v>488</v>
      </c>
      <c r="C3" t="s">
        <v>462</v>
      </c>
      <c r="D3" t="s">
        <v>282</v>
      </c>
      <c r="E3" t="s">
        <v>284</v>
      </c>
      <c r="F3" t="s">
        <v>485</v>
      </c>
      <c r="G3">
        <v>5</v>
      </c>
      <c r="H3">
        <v>1</v>
      </c>
      <c r="I3" t="s">
        <v>485</v>
      </c>
      <c r="J3">
        <v>21</v>
      </c>
      <c r="K3" t="s">
        <v>304</v>
      </c>
      <c r="L3" t="s">
        <v>479</v>
      </c>
      <c r="M3" t="s">
        <v>458</v>
      </c>
      <c r="N3" t="s">
        <v>459</v>
      </c>
      <c r="O3" t="s">
        <v>480</v>
      </c>
      <c r="P3"/>
      <c r="Q3"/>
      <c r="R3"/>
      <c r="S3"/>
      <c r="T3" s="84"/>
      <c r="U3" t="s">
        <v>481</v>
      </c>
      <c r="V3" s="84">
        <v>44519</v>
      </c>
      <c r="W3" s="84"/>
      <c r="X3" t="s">
        <v>457</v>
      </c>
      <c r="Y3"/>
      <c r="Z3"/>
      <c r="AA3" s="84"/>
      <c r="AB3">
        <v>0</v>
      </c>
      <c r="AC3" s="83">
        <v>44519.321550925997</v>
      </c>
      <c r="AD3" s="83">
        <v>44519.321550925997</v>
      </c>
      <c r="AE3" s="82" t="s">
        <v>487</v>
      </c>
    </row>
    <row r="4" spans="1:31" ht="15" x14ac:dyDescent="0.25">
      <c r="A4">
        <v>3</v>
      </c>
      <c r="B4" t="s">
        <v>490</v>
      </c>
      <c r="C4" t="s">
        <v>462</v>
      </c>
      <c r="D4" t="s">
        <v>282</v>
      </c>
      <c r="E4" t="s">
        <v>284</v>
      </c>
      <c r="F4" t="s">
        <v>370</v>
      </c>
      <c r="G4">
        <v>4</v>
      </c>
      <c r="H4">
        <v>2</v>
      </c>
      <c r="I4" t="s">
        <v>491</v>
      </c>
      <c r="J4">
        <v>30</v>
      </c>
      <c r="K4" t="s">
        <v>306</v>
      </c>
      <c r="L4" t="s">
        <v>479</v>
      </c>
      <c r="M4" t="s">
        <v>458</v>
      </c>
      <c r="N4" t="s">
        <v>459</v>
      </c>
      <c r="O4" t="s">
        <v>480</v>
      </c>
      <c r="P4"/>
      <c r="Q4"/>
      <c r="R4"/>
      <c r="S4"/>
      <c r="T4" s="84"/>
      <c r="U4" t="s">
        <v>481</v>
      </c>
      <c r="V4" s="84">
        <v>44519</v>
      </c>
      <c r="W4" s="84"/>
      <c r="X4" t="s">
        <v>457</v>
      </c>
      <c r="Y4"/>
      <c r="Z4"/>
      <c r="AA4" s="84"/>
      <c r="AB4">
        <v>0</v>
      </c>
      <c r="AC4" s="83">
        <v>44519.322546296004</v>
      </c>
      <c r="AD4" s="83">
        <v>44519.322546296004</v>
      </c>
      <c r="AE4" s="82" t="s">
        <v>489</v>
      </c>
    </row>
    <row r="5" spans="1:31" ht="15" x14ac:dyDescent="0.25">
      <c r="A5">
        <v>4</v>
      </c>
      <c r="B5" t="s">
        <v>493</v>
      </c>
      <c r="C5" t="s">
        <v>462</v>
      </c>
      <c r="D5" t="s">
        <v>282</v>
      </c>
      <c r="E5" t="s">
        <v>284</v>
      </c>
      <c r="F5" t="s">
        <v>370</v>
      </c>
      <c r="G5">
        <v>3</v>
      </c>
      <c r="H5">
        <v>3</v>
      </c>
      <c r="I5" t="s">
        <v>494</v>
      </c>
      <c r="J5">
        <v>22</v>
      </c>
      <c r="K5" t="s">
        <v>306</v>
      </c>
      <c r="L5" t="s">
        <v>479</v>
      </c>
      <c r="M5" t="s">
        <v>458</v>
      </c>
      <c r="N5" t="s">
        <v>459</v>
      </c>
      <c r="O5" t="s">
        <v>480</v>
      </c>
      <c r="P5"/>
      <c r="Q5"/>
      <c r="R5"/>
      <c r="S5"/>
      <c r="T5" s="84"/>
      <c r="U5" t="s">
        <v>481</v>
      </c>
      <c r="V5" s="84">
        <v>44519</v>
      </c>
      <c r="W5" s="84"/>
      <c r="X5" t="s">
        <v>457</v>
      </c>
      <c r="Y5"/>
      <c r="Z5"/>
      <c r="AA5" s="84"/>
      <c r="AB5">
        <v>0</v>
      </c>
      <c r="AC5" s="83">
        <v>44519.323252315</v>
      </c>
      <c r="AD5" s="83">
        <v>44519.323252315</v>
      </c>
      <c r="AE5" s="82" t="s">
        <v>492</v>
      </c>
    </row>
    <row r="6" spans="1:31" ht="15" x14ac:dyDescent="0.25">
      <c r="A6">
        <v>5</v>
      </c>
      <c r="B6" t="s">
        <v>496</v>
      </c>
      <c r="C6" t="s">
        <v>462</v>
      </c>
      <c r="D6" t="s">
        <v>282</v>
      </c>
      <c r="E6" t="s">
        <v>284</v>
      </c>
      <c r="F6" t="s">
        <v>485</v>
      </c>
      <c r="G6">
        <v>6</v>
      </c>
      <c r="H6">
        <v>2</v>
      </c>
      <c r="I6" t="s">
        <v>497</v>
      </c>
      <c r="J6">
        <v>77</v>
      </c>
      <c r="K6" t="s">
        <v>306</v>
      </c>
      <c r="L6" t="s">
        <v>498</v>
      </c>
      <c r="M6" t="s">
        <v>458</v>
      </c>
      <c r="N6" t="s">
        <v>459</v>
      </c>
      <c r="O6" t="s">
        <v>480</v>
      </c>
      <c r="P6"/>
      <c r="Q6"/>
      <c r="R6"/>
      <c r="S6"/>
      <c r="T6" s="84"/>
      <c r="U6" t="s">
        <v>481</v>
      </c>
      <c r="V6" s="84">
        <v>44520</v>
      </c>
      <c r="W6" s="84"/>
      <c r="X6" t="s">
        <v>457</v>
      </c>
      <c r="Y6"/>
      <c r="Z6"/>
      <c r="AA6" s="84"/>
      <c r="AB6">
        <v>0</v>
      </c>
      <c r="AC6" s="83">
        <v>44520.337453704</v>
      </c>
      <c r="AD6" s="83">
        <v>44520.337453704</v>
      </c>
      <c r="AE6" s="82" t="s">
        <v>495</v>
      </c>
    </row>
    <row r="7" spans="1:31" ht="15" x14ac:dyDescent="0.25">
      <c r="A7">
        <v>6</v>
      </c>
      <c r="B7" t="s">
        <v>500</v>
      </c>
      <c r="C7" t="s">
        <v>462</v>
      </c>
      <c r="D7" t="s">
        <v>282</v>
      </c>
      <c r="E7" t="s">
        <v>284</v>
      </c>
      <c r="F7" t="s">
        <v>485</v>
      </c>
      <c r="G7">
        <v>6</v>
      </c>
      <c r="H7">
        <v>2</v>
      </c>
      <c r="I7" t="s">
        <v>497</v>
      </c>
      <c r="J7">
        <v>79</v>
      </c>
      <c r="K7" t="s">
        <v>304</v>
      </c>
      <c r="L7" t="s">
        <v>501</v>
      </c>
      <c r="M7" t="s">
        <v>458</v>
      </c>
      <c r="N7" t="s">
        <v>459</v>
      </c>
      <c r="O7" t="s">
        <v>480</v>
      </c>
      <c r="P7"/>
      <c r="Q7"/>
      <c r="R7"/>
      <c r="S7"/>
      <c r="T7" s="84"/>
      <c r="U7" t="s">
        <v>481</v>
      </c>
      <c r="V7" s="84">
        <v>44520</v>
      </c>
      <c r="W7" s="84"/>
      <c r="X7" t="s">
        <v>457</v>
      </c>
      <c r="Y7"/>
      <c r="Z7"/>
      <c r="AA7" s="84"/>
      <c r="AB7">
        <v>0</v>
      </c>
      <c r="AC7" s="83">
        <v>44520.338148148003</v>
      </c>
      <c r="AD7" s="83">
        <v>44520.338148148003</v>
      </c>
      <c r="AE7" s="82" t="s">
        <v>499</v>
      </c>
    </row>
    <row r="8" spans="1:31" ht="15" x14ac:dyDescent="0.25">
      <c r="A8">
        <v>7</v>
      </c>
      <c r="B8" t="s">
        <v>503</v>
      </c>
      <c r="C8" t="s">
        <v>462</v>
      </c>
      <c r="D8" t="s">
        <v>282</v>
      </c>
      <c r="E8" t="s">
        <v>284</v>
      </c>
      <c r="F8" t="s">
        <v>485</v>
      </c>
      <c r="G8">
        <v>3</v>
      </c>
      <c r="H8">
        <v>1</v>
      </c>
      <c r="I8" t="s">
        <v>497</v>
      </c>
      <c r="J8">
        <v>22</v>
      </c>
      <c r="K8" t="s">
        <v>304</v>
      </c>
      <c r="L8" t="s">
        <v>504</v>
      </c>
      <c r="M8" t="s">
        <v>458</v>
      </c>
      <c r="N8" t="s">
        <v>459</v>
      </c>
      <c r="O8" t="s">
        <v>480</v>
      </c>
      <c r="P8"/>
      <c r="Q8"/>
      <c r="R8"/>
      <c r="S8"/>
      <c r="T8" s="84"/>
      <c r="U8" t="s">
        <v>481</v>
      </c>
      <c r="V8" s="84">
        <v>44520</v>
      </c>
      <c r="W8" s="84"/>
      <c r="X8" t="s">
        <v>457</v>
      </c>
      <c r="Y8"/>
      <c r="Z8"/>
      <c r="AA8" s="84"/>
      <c r="AB8">
        <v>0</v>
      </c>
      <c r="AC8" s="83">
        <v>44520.338958332999</v>
      </c>
      <c r="AD8" s="83">
        <v>44520.338958332999</v>
      </c>
      <c r="AE8" s="82" t="s">
        <v>502</v>
      </c>
    </row>
    <row r="9" spans="1:31" ht="15" x14ac:dyDescent="0.25">
      <c r="A9">
        <v>8</v>
      </c>
      <c r="B9" t="s">
        <v>506</v>
      </c>
      <c r="C9" t="s">
        <v>462</v>
      </c>
      <c r="D9" t="s">
        <v>282</v>
      </c>
      <c r="E9" t="s">
        <v>283</v>
      </c>
      <c r="F9" t="s">
        <v>507</v>
      </c>
      <c r="G9">
        <v>6</v>
      </c>
      <c r="H9">
        <v>3</v>
      </c>
      <c r="I9" t="s">
        <v>507</v>
      </c>
      <c r="J9">
        <v>35</v>
      </c>
      <c r="K9" t="s">
        <v>306</v>
      </c>
      <c r="L9" t="s">
        <v>479</v>
      </c>
      <c r="M9" t="s">
        <v>458</v>
      </c>
      <c r="N9" t="s">
        <v>459</v>
      </c>
      <c r="O9" t="s">
        <v>480</v>
      </c>
      <c r="P9"/>
      <c r="Q9"/>
      <c r="R9"/>
      <c r="S9"/>
      <c r="T9" s="84"/>
      <c r="U9" t="s">
        <v>481</v>
      </c>
      <c r="V9" s="84">
        <v>44522</v>
      </c>
      <c r="W9" s="84"/>
      <c r="X9" t="s">
        <v>457</v>
      </c>
      <c r="Y9"/>
      <c r="Z9"/>
      <c r="AA9" s="84"/>
      <c r="AB9">
        <v>0</v>
      </c>
      <c r="AC9" s="83">
        <v>44522.479826388997</v>
      </c>
      <c r="AD9" s="83">
        <v>44522.479826388997</v>
      </c>
      <c r="AE9" s="82" t="s">
        <v>505</v>
      </c>
    </row>
    <row r="10" spans="1:31" ht="15" x14ac:dyDescent="0.25">
      <c r="A10">
        <v>9</v>
      </c>
      <c r="B10" t="s">
        <v>509</v>
      </c>
      <c r="C10" t="s">
        <v>462</v>
      </c>
      <c r="D10" t="s">
        <v>282</v>
      </c>
      <c r="E10" t="s">
        <v>284</v>
      </c>
      <c r="F10" t="s">
        <v>395</v>
      </c>
      <c r="G10">
        <v>1</v>
      </c>
      <c r="H10">
        <v>5</v>
      </c>
      <c r="I10" t="s">
        <v>395</v>
      </c>
      <c r="J10">
        <v>28</v>
      </c>
      <c r="K10" t="s">
        <v>304</v>
      </c>
      <c r="L10" t="s">
        <v>479</v>
      </c>
      <c r="M10" t="s">
        <v>458</v>
      </c>
      <c r="N10" t="s">
        <v>459</v>
      </c>
      <c r="O10" t="s">
        <v>480</v>
      </c>
      <c r="P10"/>
      <c r="Q10"/>
      <c r="R10"/>
      <c r="S10"/>
      <c r="T10" s="84"/>
      <c r="U10" t="s">
        <v>481</v>
      </c>
      <c r="V10" s="84">
        <v>44522</v>
      </c>
      <c r="W10" s="84"/>
      <c r="X10" t="s">
        <v>457</v>
      </c>
      <c r="Y10"/>
      <c r="Z10"/>
      <c r="AA10" s="84"/>
      <c r="AB10">
        <v>0</v>
      </c>
      <c r="AC10" s="83">
        <v>44522.480439815001</v>
      </c>
      <c r="AD10" s="83">
        <v>44522.480439815001</v>
      </c>
      <c r="AE10" s="82" t="s">
        <v>508</v>
      </c>
    </row>
    <row r="11" spans="1:31" ht="15" x14ac:dyDescent="0.25">
      <c r="A11">
        <v>10</v>
      </c>
      <c r="B11" t="s">
        <v>512</v>
      </c>
      <c r="C11" t="s">
        <v>462</v>
      </c>
      <c r="D11" t="s">
        <v>282</v>
      </c>
      <c r="E11" t="s">
        <v>284</v>
      </c>
      <c r="F11" t="s">
        <v>337</v>
      </c>
      <c r="G11">
        <v>1</v>
      </c>
      <c r="H11">
        <v>1</v>
      </c>
      <c r="I11" t="s">
        <v>513</v>
      </c>
      <c r="J11">
        <v>42</v>
      </c>
      <c r="K11" t="s">
        <v>306</v>
      </c>
      <c r="L11" t="s">
        <v>479</v>
      </c>
      <c r="M11" t="s">
        <v>458</v>
      </c>
      <c r="N11" t="s">
        <v>459</v>
      </c>
      <c r="O11" t="s">
        <v>480</v>
      </c>
      <c r="P11"/>
      <c r="Q11"/>
      <c r="R11"/>
      <c r="S11"/>
      <c r="T11" s="84"/>
      <c r="U11" t="s">
        <v>481</v>
      </c>
      <c r="V11" s="84">
        <v>44524</v>
      </c>
      <c r="W11" s="84"/>
      <c r="X11" t="s">
        <v>457</v>
      </c>
      <c r="Y11"/>
      <c r="Z11"/>
      <c r="AA11" s="84"/>
      <c r="AB11">
        <v>0</v>
      </c>
      <c r="AC11" s="83">
        <v>44524.411006943999</v>
      </c>
      <c r="AD11" s="83">
        <v>44524.411006943999</v>
      </c>
      <c r="AE11" s="82" t="s">
        <v>511</v>
      </c>
    </row>
    <row r="12" spans="1:31" ht="15" x14ac:dyDescent="0.25">
      <c r="A12">
        <v>11</v>
      </c>
      <c r="B12" t="s">
        <v>515</v>
      </c>
      <c r="C12" t="s">
        <v>462</v>
      </c>
      <c r="D12" t="s">
        <v>282</v>
      </c>
      <c r="E12" t="s">
        <v>284</v>
      </c>
      <c r="F12" t="s">
        <v>337</v>
      </c>
      <c r="G12">
        <v>3</v>
      </c>
      <c r="H12">
        <v>3</v>
      </c>
      <c r="I12" t="s">
        <v>510</v>
      </c>
      <c r="J12">
        <v>32</v>
      </c>
      <c r="K12" t="s">
        <v>304</v>
      </c>
      <c r="L12" t="s">
        <v>516</v>
      </c>
      <c r="M12" t="s">
        <v>458</v>
      </c>
      <c r="N12" t="s">
        <v>459</v>
      </c>
      <c r="O12" t="s">
        <v>480</v>
      </c>
      <c r="P12"/>
      <c r="Q12"/>
      <c r="R12"/>
      <c r="S12"/>
      <c r="T12" s="84"/>
      <c r="U12" t="s">
        <v>481</v>
      </c>
      <c r="V12" s="84">
        <v>44524</v>
      </c>
      <c r="W12" s="84"/>
      <c r="X12" t="s">
        <v>457</v>
      </c>
      <c r="Y12"/>
      <c r="Z12"/>
      <c r="AA12" s="84"/>
      <c r="AB12">
        <v>0</v>
      </c>
      <c r="AC12" s="83">
        <v>44524.413391203998</v>
      </c>
      <c r="AD12" s="83">
        <v>44524.413391203998</v>
      </c>
      <c r="AE12" s="82" t="s">
        <v>514</v>
      </c>
    </row>
    <row r="13" spans="1:31" ht="15" x14ac:dyDescent="0.25">
      <c r="A13">
        <v>12</v>
      </c>
      <c r="B13" t="s">
        <v>518</v>
      </c>
      <c r="C13" t="s">
        <v>462</v>
      </c>
      <c r="D13" t="s">
        <v>282</v>
      </c>
      <c r="E13" t="s">
        <v>284</v>
      </c>
      <c r="F13" t="s">
        <v>337</v>
      </c>
      <c r="G13">
        <v>3</v>
      </c>
      <c r="H13">
        <v>3</v>
      </c>
      <c r="I13" t="s">
        <v>510</v>
      </c>
      <c r="J13">
        <v>29</v>
      </c>
      <c r="K13" t="s">
        <v>306</v>
      </c>
      <c r="L13" t="s">
        <v>516</v>
      </c>
      <c r="M13" t="s">
        <v>458</v>
      </c>
      <c r="N13" t="s">
        <v>459</v>
      </c>
      <c r="O13" t="s">
        <v>480</v>
      </c>
      <c r="P13"/>
      <c r="Q13"/>
      <c r="R13"/>
      <c r="S13"/>
      <c r="T13" s="84"/>
      <c r="U13" t="s">
        <v>481</v>
      </c>
      <c r="V13" s="84">
        <v>44524</v>
      </c>
      <c r="W13" s="84"/>
      <c r="X13" t="s">
        <v>457</v>
      </c>
      <c r="Y13"/>
      <c r="Z13"/>
      <c r="AA13" s="84"/>
      <c r="AB13">
        <v>0</v>
      </c>
      <c r="AC13" s="83">
        <v>44524.414224537002</v>
      </c>
      <c r="AD13" s="83">
        <v>44524.414224537002</v>
      </c>
      <c r="AE13" s="82" t="s">
        <v>517</v>
      </c>
    </row>
    <row r="14" spans="1:31" ht="15" x14ac:dyDescent="0.25">
      <c r="A14">
        <v>13</v>
      </c>
      <c r="B14" t="s">
        <v>520</v>
      </c>
      <c r="C14" t="s">
        <v>462</v>
      </c>
      <c r="D14" t="s">
        <v>282</v>
      </c>
      <c r="E14" t="s">
        <v>284</v>
      </c>
      <c r="F14" t="s">
        <v>521</v>
      </c>
      <c r="G14">
        <v>3</v>
      </c>
      <c r="H14">
        <v>5</v>
      </c>
      <c r="I14" t="s">
        <v>522</v>
      </c>
      <c r="J14">
        <v>19</v>
      </c>
      <c r="K14" t="s">
        <v>306</v>
      </c>
      <c r="L14" t="s">
        <v>479</v>
      </c>
      <c r="M14" t="s">
        <v>458</v>
      </c>
      <c r="N14" t="s">
        <v>459</v>
      </c>
      <c r="O14" t="s">
        <v>480</v>
      </c>
      <c r="P14"/>
      <c r="Q14"/>
      <c r="R14"/>
      <c r="S14"/>
      <c r="T14" s="84"/>
      <c r="U14" t="s">
        <v>481</v>
      </c>
      <c r="V14" s="84">
        <v>44524</v>
      </c>
      <c r="W14" s="84"/>
      <c r="X14" t="s">
        <v>457</v>
      </c>
      <c r="Y14"/>
      <c r="Z14"/>
      <c r="AA14" s="84"/>
      <c r="AB14">
        <v>0</v>
      </c>
      <c r="AC14" s="83">
        <v>44524.415254630003</v>
      </c>
      <c r="AD14" s="83">
        <v>44524.415254630003</v>
      </c>
      <c r="AE14" s="82" t="s">
        <v>519</v>
      </c>
    </row>
    <row r="15" spans="1:31" ht="15" x14ac:dyDescent="0.25">
      <c r="A15">
        <v>14</v>
      </c>
      <c r="B15" t="s">
        <v>524</v>
      </c>
      <c r="C15" t="s">
        <v>462</v>
      </c>
      <c r="D15" t="s">
        <v>282</v>
      </c>
      <c r="E15" t="s">
        <v>284</v>
      </c>
      <c r="F15" t="s">
        <v>521</v>
      </c>
      <c r="G15">
        <v>1</v>
      </c>
      <c r="H15">
        <v>1</v>
      </c>
      <c r="I15" t="s">
        <v>525</v>
      </c>
      <c r="J15">
        <v>20</v>
      </c>
      <c r="K15" t="s">
        <v>306</v>
      </c>
      <c r="L15" t="s">
        <v>479</v>
      </c>
      <c r="M15" t="s">
        <v>458</v>
      </c>
      <c r="N15" t="s">
        <v>459</v>
      </c>
      <c r="O15" t="s">
        <v>480</v>
      </c>
      <c r="P15"/>
      <c r="Q15"/>
      <c r="R15"/>
      <c r="S15"/>
      <c r="T15" s="84"/>
      <c r="U15" t="s">
        <v>481</v>
      </c>
      <c r="V15" s="84">
        <v>44525</v>
      </c>
      <c r="W15" s="84"/>
      <c r="X15" t="s">
        <v>457</v>
      </c>
      <c r="Y15"/>
      <c r="Z15"/>
      <c r="AA15" s="84"/>
      <c r="AB15">
        <v>0</v>
      </c>
      <c r="AC15" s="83">
        <v>44525.396041667002</v>
      </c>
      <c r="AD15" s="83">
        <v>44525.396041667002</v>
      </c>
      <c r="AE15" s="82" t="s">
        <v>523</v>
      </c>
    </row>
    <row r="16" spans="1:31" ht="15" x14ac:dyDescent="0.25">
      <c r="A16">
        <v>15</v>
      </c>
      <c r="B16" t="s">
        <v>527</v>
      </c>
      <c r="C16" t="s">
        <v>462</v>
      </c>
      <c r="D16" t="s">
        <v>282</v>
      </c>
      <c r="E16" t="s">
        <v>284</v>
      </c>
      <c r="F16" t="s">
        <v>395</v>
      </c>
      <c r="G16">
        <v>4</v>
      </c>
      <c r="H16">
        <v>2</v>
      </c>
      <c r="I16" t="s">
        <v>395</v>
      </c>
      <c r="J16">
        <v>32</v>
      </c>
      <c r="K16" t="s">
        <v>304</v>
      </c>
      <c r="L16" t="s">
        <v>528</v>
      </c>
      <c r="M16" t="s">
        <v>458</v>
      </c>
      <c r="N16" t="s">
        <v>459</v>
      </c>
      <c r="O16" t="s">
        <v>480</v>
      </c>
      <c r="P16"/>
      <c r="Q16"/>
      <c r="R16"/>
      <c r="S16"/>
      <c r="T16" s="84"/>
      <c r="U16" t="s">
        <v>481</v>
      </c>
      <c r="V16" s="84">
        <v>44525</v>
      </c>
      <c r="W16" s="84"/>
      <c r="X16" t="s">
        <v>457</v>
      </c>
      <c r="Y16"/>
      <c r="Z16"/>
      <c r="AA16" s="84"/>
      <c r="AB16">
        <v>0</v>
      </c>
      <c r="AC16" s="83">
        <v>44525.396689815003</v>
      </c>
      <c r="AD16" s="83">
        <v>44525.396689815003</v>
      </c>
      <c r="AE16" s="82" t="s">
        <v>526</v>
      </c>
    </row>
    <row r="17" spans="1:31" ht="15" x14ac:dyDescent="0.25">
      <c r="A17">
        <v>16</v>
      </c>
      <c r="B17" t="s">
        <v>530</v>
      </c>
      <c r="C17" t="s">
        <v>462</v>
      </c>
      <c r="D17" t="s">
        <v>282</v>
      </c>
      <c r="E17" t="s">
        <v>284</v>
      </c>
      <c r="F17" t="s">
        <v>395</v>
      </c>
      <c r="G17">
        <v>4</v>
      </c>
      <c r="H17">
        <v>2</v>
      </c>
      <c r="I17" t="s">
        <v>395</v>
      </c>
      <c r="J17">
        <v>29</v>
      </c>
      <c r="K17" t="s">
        <v>306</v>
      </c>
      <c r="L17" t="s">
        <v>531</v>
      </c>
      <c r="M17" t="s">
        <v>458</v>
      </c>
      <c r="N17" t="s">
        <v>459</v>
      </c>
      <c r="O17" t="s">
        <v>480</v>
      </c>
      <c r="P17"/>
      <c r="Q17"/>
      <c r="R17"/>
      <c r="S17"/>
      <c r="T17" s="84"/>
      <c r="U17" t="s">
        <v>481</v>
      </c>
      <c r="V17" s="84">
        <v>44525</v>
      </c>
      <c r="W17" s="84"/>
      <c r="X17" t="s">
        <v>457</v>
      </c>
      <c r="Y17"/>
      <c r="Z17"/>
      <c r="AA17" s="84"/>
      <c r="AB17">
        <v>0</v>
      </c>
      <c r="AC17" s="83">
        <v>44525.397256944001</v>
      </c>
      <c r="AD17" s="83">
        <v>44525.397256944001</v>
      </c>
      <c r="AE17" s="82" t="s">
        <v>529</v>
      </c>
    </row>
    <row r="18" spans="1:31" ht="15" x14ac:dyDescent="0.25">
      <c r="A18">
        <v>17</v>
      </c>
      <c r="B18" t="s">
        <v>533</v>
      </c>
      <c r="C18" t="s">
        <v>462</v>
      </c>
      <c r="D18" t="s">
        <v>282</v>
      </c>
      <c r="E18" t="s">
        <v>282</v>
      </c>
      <c r="F18" t="s">
        <v>534</v>
      </c>
      <c r="G18">
        <v>8</v>
      </c>
      <c r="H18">
        <v>3</v>
      </c>
      <c r="I18" t="s">
        <v>535</v>
      </c>
      <c r="J18">
        <v>35</v>
      </c>
      <c r="K18" t="s">
        <v>306</v>
      </c>
      <c r="L18" t="s">
        <v>536</v>
      </c>
      <c r="M18" t="s">
        <v>458</v>
      </c>
      <c r="N18" t="s">
        <v>459</v>
      </c>
      <c r="O18" t="s">
        <v>480</v>
      </c>
      <c r="P18"/>
      <c r="Q18"/>
      <c r="R18"/>
      <c r="S18"/>
      <c r="T18" s="84"/>
      <c r="U18" t="s">
        <v>481</v>
      </c>
      <c r="V18" s="84">
        <v>44526</v>
      </c>
      <c r="W18" s="84"/>
      <c r="X18" t="s">
        <v>457</v>
      </c>
      <c r="Y18"/>
      <c r="Z18"/>
      <c r="AA18" s="84"/>
      <c r="AB18">
        <v>0</v>
      </c>
      <c r="AC18" s="83">
        <v>44526.423993056</v>
      </c>
      <c r="AD18" s="83">
        <v>44526.423993056</v>
      </c>
      <c r="AE18" s="82" t="s">
        <v>532</v>
      </c>
    </row>
    <row r="19" spans="1:31" ht="15" x14ac:dyDescent="0.25">
      <c r="A19">
        <v>18</v>
      </c>
      <c r="B19" t="s">
        <v>538</v>
      </c>
      <c r="C19" t="s">
        <v>462</v>
      </c>
      <c r="D19" t="s">
        <v>282</v>
      </c>
      <c r="E19" t="s">
        <v>284</v>
      </c>
      <c r="F19" t="s">
        <v>352</v>
      </c>
      <c r="G19">
        <v>2</v>
      </c>
      <c r="H19">
        <v>4</v>
      </c>
      <c r="I19" t="s">
        <v>352</v>
      </c>
      <c r="J19">
        <v>25</v>
      </c>
      <c r="K19" t="s">
        <v>304</v>
      </c>
      <c r="L19" t="s">
        <v>479</v>
      </c>
      <c r="M19" t="s">
        <v>458</v>
      </c>
      <c r="N19" t="s">
        <v>459</v>
      </c>
      <c r="O19" t="s">
        <v>480</v>
      </c>
      <c r="P19"/>
      <c r="Q19"/>
      <c r="R19"/>
      <c r="S19"/>
      <c r="T19" s="84"/>
      <c r="U19" t="s">
        <v>481</v>
      </c>
      <c r="V19" s="84">
        <v>44529</v>
      </c>
      <c r="W19" s="84"/>
      <c r="X19" t="s">
        <v>457</v>
      </c>
      <c r="Y19"/>
      <c r="Z19"/>
      <c r="AA19" s="84"/>
      <c r="AB19">
        <v>0</v>
      </c>
      <c r="AC19" s="83">
        <v>44529.335717593</v>
      </c>
      <c r="AD19" s="83">
        <v>44529.335717593</v>
      </c>
      <c r="AE19" s="82" t="s">
        <v>537</v>
      </c>
    </row>
    <row r="20" spans="1:31" ht="15" x14ac:dyDescent="0.25">
      <c r="A20">
        <v>19</v>
      </c>
      <c r="B20" t="s">
        <v>540</v>
      </c>
      <c r="C20" t="s">
        <v>462</v>
      </c>
      <c r="D20" t="s">
        <v>282</v>
      </c>
      <c r="E20" t="s">
        <v>284</v>
      </c>
      <c r="F20" t="s">
        <v>284</v>
      </c>
      <c r="G20">
        <v>1</v>
      </c>
      <c r="H20">
        <v>1</v>
      </c>
      <c r="I20" t="s">
        <v>541</v>
      </c>
      <c r="J20">
        <v>27</v>
      </c>
      <c r="K20" t="s">
        <v>306</v>
      </c>
      <c r="L20" t="s">
        <v>479</v>
      </c>
      <c r="M20" t="s">
        <v>458</v>
      </c>
      <c r="N20" t="s">
        <v>459</v>
      </c>
      <c r="O20" t="s">
        <v>480</v>
      </c>
      <c r="P20"/>
      <c r="Q20"/>
      <c r="R20"/>
      <c r="S20"/>
      <c r="T20" s="84"/>
      <c r="U20" t="s">
        <v>481</v>
      </c>
      <c r="V20" s="84">
        <v>44529</v>
      </c>
      <c r="W20" s="84"/>
      <c r="X20" t="s">
        <v>457</v>
      </c>
      <c r="Y20"/>
      <c r="Z20"/>
      <c r="AA20" s="84"/>
      <c r="AB20">
        <v>0</v>
      </c>
      <c r="AC20" s="83">
        <v>44529.426562499997</v>
      </c>
      <c r="AD20" s="83">
        <v>44529.426562499997</v>
      </c>
      <c r="AE20" s="82" t="s">
        <v>539</v>
      </c>
    </row>
    <row r="21" spans="1:31" ht="15" x14ac:dyDescent="0.25">
      <c r="A21">
        <v>20</v>
      </c>
      <c r="B21" t="s">
        <v>543</v>
      </c>
      <c r="C21" t="s">
        <v>462</v>
      </c>
      <c r="D21" t="s">
        <v>282</v>
      </c>
      <c r="E21" t="s">
        <v>284</v>
      </c>
      <c r="F21" t="s">
        <v>482</v>
      </c>
      <c r="G21">
        <v>4</v>
      </c>
      <c r="H21">
        <v>3</v>
      </c>
      <c r="I21" t="s">
        <v>482</v>
      </c>
      <c r="J21">
        <v>22</v>
      </c>
      <c r="K21" t="s">
        <v>304</v>
      </c>
      <c r="L21" t="s">
        <v>479</v>
      </c>
      <c r="M21" t="s">
        <v>458</v>
      </c>
      <c r="N21" t="s">
        <v>459</v>
      </c>
      <c r="O21" t="s">
        <v>480</v>
      </c>
      <c r="P21"/>
      <c r="Q21"/>
      <c r="R21"/>
      <c r="S21"/>
      <c r="T21" s="84"/>
      <c r="U21" t="s">
        <v>481</v>
      </c>
      <c r="V21" s="84">
        <v>44529</v>
      </c>
      <c r="W21" s="84"/>
      <c r="X21" t="s">
        <v>457</v>
      </c>
      <c r="Y21"/>
      <c r="Z21"/>
      <c r="AA21" s="84"/>
      <c r="AB21">
        <v>0</v>
      </c>
      <c r="AC21" s="83">
        <v>44529.427141204003</v>
      </c>
      <c r="AD21" s="83">
        <v>44529.427141204003</v>
      </c>
      <c r="AE21" s="82" t="s">
        <v>542</v>
      </c>
    </row>
    <row r="22" spans="1:31" ht="15" x14ac:dyDescent="0.25">
      <c r="A22">
        <v>21</v>
      </c>
      <c r="B22" t="s">
        <v>545</v>
      </c>
      <c r="C22" t="s">
        <v>462</v>
      </c>
      <c r="D22" t="s">
        <v>282</v>
      </c>
      <c r="E22" t="s">
        <v>281</v>
      </c>
      <c r="F22" t="s">
        <v>546</v>
      </c>
      <c r="G22">
        <v>4</v>
      </c>
      <c r="H22">
        <v>11</v>
      </c>
      <c r="I22" t="s">
        <v>547</v>
      </c>
      <c r="J22">
        <v>38</v>
      </c>
      <c r="K22" t="s">
        <v>304</v>
      </c>
      <c r="L22" t="s">
        <v>548</v>
      </c>
      <c r="M22" t="s">
        <v>478</v>
      </c>
      <c r="N22" t="s">
        <v>459</v>
      </c>
      <c r="O22" t="s">
        <v>480</v>
      </c>
      <c r="P22"/>
      <c r="Q22"/>
      <c r="R22"/>
      <c r="S22"/>
      <c r="T22" s="84"/>
      <c r="U22" t="s">
        <v>549</v>
      </c>
      <c r="V22" s="84">
        <v>44531</v>
      </c>
      <c r="W22" s="84"/>
      <c r="X22" t="s">
        <v>457</v>
      </c>
      <c r="Y22"/>
      <c r="Z22"/>
      <c r="AA22" s="84"/>
      <c r="AB22">
        <v>0</v>
      </c>
      <c r="AC22" s="83">
        <v>44531.634085648002</v>
      </c>
      <c r="AD22" s="83">
        <v>44531.634085648002</v>
      </c>
      <c r="AE22" s="82" t="s">
        <v>544</v>
      </c>
    </row>
    <row r="23" spans="1:31" ht="15" x14ac:dyDescent="0.25">
      <c r="A23"/>
      <c r="B23"/>
      <c r="C23"/>
      <c r="D23"/>
      <c r="E23"/>
      <c r="F23"/>
      <c r="G23"/>
      <c r="H23"/>
      <c r="I23"/>
      <c r="J23"/>
      <c r="K23"/>
      <c r="L23"/>
      <c r="M23"/>
      <c r="N23"/>
      <c r="O23"/>
      <c r="P23"/>
      <c r="Q23"/>
      <c r="R23"/>
      <c r="S23"/>
      <c r="T23" s="84"/>
      <c r="U23"/>
      <c r="V23" s="84"/>
      <c r="W23" s="84"/>
      <c r="X23"/>
      <c r="Y23"/>
      <c r="Z23"/>
      <c r="AA23" s="84"/>
      <c r="AB23"/>
      <c r="AC23" s="83"/>
      <c r="AD23" s="83"/>
      <c r="AE23" s="82"/>
    </row>
    <row r="24" spans="1:31" ht="15" x14ac:dyDescent="0.25">
      <c r="A24"/>
      <c r="B24"/>
      <c r="C24"/>
      <c r="D24"/>
      <c r="E24"/>
      <c r="F24"/>
      <c r="G24"/>
      <c r="H24"/>
      <c r="I24"/>
      <c r="J24"/>
      <c r="K24"/>
      <c r="L24"/>
      <c r="M24"/>
      <c r="N24"/>
      <c r="O24"/>
      <c r="P24"/>
      <c r="Q24"/>
      <c r="R24"/>
      <c r="S24"/>
      <c r="T24" s="84"/>
      <c r="U24"/>
      <c r="V24" s="84"/>
      <c r="W24" s="84"/>
      <c r="X24"/>
      <c r="Y24"/>
      <c r="Z24"/>
      <c r="AA24" s="84"/>
      <c r="AB24"/>
      <c r="AC24" s="83"/>
      <c r="AD24" s="83"/>
      <c r="AE24" s="82"/>
    </row>
    <row r="25" spans="1:31" ht="15" x14ac:dyDescent="0.25">
      <c r="A25"/>
      <c r="B25"/>
      <c r="C25"/>
      <c r="D25"/>
      <c r="E25"/>
      <c r="F25"/>
      <c r="G25"/>
      <c r="H25"/>
      <c r="I25"/>
      <c r="J25"/>
      <c r="K25"/>
      <c r="L25"/>
      <c r="M25"/>
      <c r="N25"/>
      <c r="O25"/>
      <c r="P25"/>
      <c r="Q25"/>
      <c r="R25"/>
      <c r="S25"/>
      <c r="T25" s="84"/>
      <c r="U25"/>
      <c r="V25" s="84"/>
      <c r="W25" s="84"/>
      <c r="X25"/>
      <c r="Y25"/>
      <c r="Z25"/>
      <c r="AA25" s="84"/>
      <c r="AB25"/>
      <c r="AC25" s="83"/>
      <c r="AD25" s="83"/>
      <c r="AE25" s="82"/>
    </row>
    <row r="26" spans="1:31" ht="15" x14ac:dyDescent="0.25">
      <c r="A26"/>
      <c r="B26"/>
      <c r="C26"/>
      <c r="D26"/>
      <c r="E26"/>
      <c r="F26"/>
      <c r="G26"/>
      <c r="H26"/>
      <c r="I26"/>
      <c r="J26"/>
      <c r="K26"/>
      <c r="L26"/>
      <c r="M26"/>
      <c r="N26"/>
      <c r="O26"/>
      <c r="P26"/>
      <c r="Q26"/>
      <c r="R26"/>
      <c r="S26"/>
      <c r="T26" s="84"/>
      <c r="U26"/>
      <c r="V26" s="84"/>
      <c r="W26" s="84"/>
      <c r="X26"/>
      <c r="Y26"/>
      <c r="Z26"/>
      <c r="AA26" s="84"/>
      <c r="AB26"/>
      <c r="AC26" s="83"/>
      <c r="AD26" s="83"/>
      <c r="AE26" s="82"/>
    </row>
    <row r="27" spans="1:31" ht="15" x14ac:dyDescent="0.25">
      <c r="A27"/>
      <c r="B27"/>
      <c r="C27"/>
      <c r="D27"/>
      <c r="E27"/>
      <c r="F27"/>
      <c r="G27"/>
      <c r="H27"/>
      <c r="I27"/>
      <c r="J27"/>
      <c r="K27"/>
      <c r="L27"/>
      <c r="M27"/>
      <c r="N27"/>
      <c r="O27"/>
      <c r="P27"/>
      <c r="Q27"/>
      <c r="R27"/>
      <c r="S27"/>
      <c r="T27" s="84"/>
      <c r="U27"/>
      <c r="V27" s="84"/>
      <c r="W27" s="84"/>
      <c r="X27"/>
      <c r="Y27"/>
      <c r="Z27"/>
      <c r="AA27" s="84"/>
      <c r="AB27"/>
      <c r="AC27" s="83"/>
      <c r="AD27" s="83"/>
      <c r="AE27" s="82"/>
    </row>
    <row r="28" spans="1:31" ht="15" x14ac:dyDescent="0.25">
      <c r="A28"/>
      <c r="B28"/>
      <c r="C28"/>
      <c r="D28"/>
      <c r="E28"/>
      <c r="F28"/>
      <c r="G28"/>
      <c r="H28"/>
      <c r="I28"/>
      <c r="J28"/>
      <c r="K28"/>
      <c r="L28"/>
      <c r="M28"/>
      <c r="N28"/>
      <c r="O28"/>
      <c r="P28"/>
      <c r="Q28"/>
      <c r="R28"/>
      <c r="S28"/>
      <c r="T28" s="84"/>
      <c r="U28"/>
      <c r="V28" s="84"/>
      <c r="W28" s="84"/>
      <c r="X28"/>
      <c r="Y28"/>
      <c r="Z28"/>
      <c r="AA28" s="84"/>
      <c r="AB28"/>
      <c r="AC28" s="83"/>
      <c r="AD28" s="83"/>
      <c r="AE28" s="82"/>
    </row>
    <row r="29" spans="1:31" ht="15" x14ac:dyDescent="0.25">
      <c r="A29"/>
      <c r="B29"/>
      <c r="C29"/>
      <c r="D29"/>
      <c r="E29"/>
      <c r="F29"/>
      <c r="G29"/>
      <c r="H29"/>
      <c r="I29"/>
      <c r="J29"/>
      <c r="K29"/>
      <c r="L29"/>
      <c r="M29"/>
      <c r="N29"/>
      <c r="O29"/>
      <c r="P29"/>
      <c r="Q29"/>
      <c r="R29"/>
      <c r="S29"/>
      <c r="T29" s="84"/>
      <c r="U29"/>
      <c r="V29" s="84"/>
      <c r="W29" s="84"/>
      <c r="X29"/>
      <c r="Y29"/>
      <c r="Z29"/>
      <c r="AA29" s="84"/>
      <c r="AB29"/>
      <c r="AC29" s="83"/>
      <c r="AD29" s="83"/>
      <c r="AE29" s="82"/>
    </row>
    <row r="30" spans="1:31" ht="15" x14ac:dyDescent="0.25">
      <c r="A30"/>
      <c r="B30"/>
      <c r="C30"/>
      <c r="D30"/>
      <c r="E30"/>
      <c r="F30"/>
      <c r="G30"/>
      <c r="H30"/>
      <c r="I30"/>
      <c r="J30"/>
      <c r="K30"/>
      <c r="L30"/>
      <c r="M30"/>
      <c r="N30"/>
      <c r="O30"/>
      <c r="P30"/>
      <c r="Q30"/>
      <c r="R30"/>
      <c r="S30"/>
      <c r="T30" s="84"/>
      <c r="U30"/>
      <c r="V30" s="84"/>
      <c r="W30" s="84"/>
      <c r="X30"/>
      <c r="Y30"/>
      <c r="Z30"/>
      <c r="AA30" s="84"/>
      <c r="AB30"/>
      <c r="AC30" s="83"/>
      <c r="AD30" s="83"/>
      <c r="AE30" s="82"/>
    </row>
    <row r="31" spans="1:31" ht="15" x14ac:dyDescent="0.25">
      <c r="A31"/>
      <c r="B31"/>
      <c r="C31"/>
      <c r="D31"/>
      <c r="E31"/>
      <c r="F31"/>
      <c r="G31"/>
      <c r="H31"/>
      <c r="I31"/>
      <c r="J31"/>
      <c r="K31"/>
      <c r="L31"/>
      <c r="M31"/>
      <c r="N31"/>
      <c r="O31"/>
      <c r="P31"/>
      <c r="Q31"/>
      <c r="R31"/>
      <c r="S31"/>
      <c r="T31" s="84"/>
      <c r="U31"/>
      <c r="V31" s="84"/>
      <c r="W31" s="84"/>
      <c r="X31"/>
      <c r="Y31"/>
      <c r="Z31"/>
      <c r="AA31" s="84"/>
      <c r="AB31"/>
      <c r="AC31" s="83"/>
      <c r="AD31" s="83"/>
      <c r="AE31" s="82"/>
    </row>
    <row r="32" spans="1:31" ht="15" x14ac:dyDescent="0.25">
      <c r="A32"/>
      <c r="B32"/>
      <c r="C32"/>
      <c r="D32"/>
      <c r="E32"/>
      <c r="F32"/>
      <c r="G32"/>
      <c r="H32"/>
      <c r="I32"/>
      <c r="J32"/>
      <c r="K32"/>
      <c r="L32"/>
      <c r="M32"/>
      <c r="N32"/>
      <c r="O32"/>
      <c r="P32"/>
      <c r="Q32"/>
      <c r="R32"/>
      <c r="S32"/>
      <c r="T32" s="84"/>
      <c r="U32"/>
      <c r="V32" s="84"/>
      <c r="W32" s="84"/>
      <c r="X32"/>
      <c r="Y32"/>
      <c r="Z32"/>
      <c r="AA32" s="84"/>
      <c r="AB32"/>
      <c r="AC32" s="83"/>
      <c r="AD32" s="83"/>
      <c r="AE32" s="82"/>
    </row>
    <row r="33" spans="1:31" ht="15" x14ac:dyDescent="0.25">
      <c r="A33"/>
      <c r="B33"/>
      <c r="C33"/>
      <c r="D33"/>
      <c r="E33"/>
      <c r="F33"/>
      <c r="G33"/>
      <c r="H33"/>
      <c r="I33"/>
      <c r="J33"/>
      <c r="K33"/>
      <c r="L33"/>
      <c r="M33"/>
      <c r="N33"/>
      <c r="O33"/>
      <c r="P33"/>
      <c r="Q33"/>
      <c r="R33"/>
      <c r="S33"/>
      <c r="T33" s="84"/>
      <c r="U33"/>
      <c r="V33" s="84"/>
      <c r="W33" s="84"/>
      <c r="X33"/>
      <c r="Y33"/>
      <c r="Z33"/>
      <c r="AA33" s="84"/>
      <c r="AB33"/>
      <c r="AC33" s="83"/>
      <c r="AD33" s="83"/>
      <c r="AE33" s="82"/>
    </row>
    <row r="34" spans="1:31" ht="15" x14ac:dyDescent="0.25">
      <c r="A34"/>
      <c r="B34"/>
      <c r="C34"/>
      <c r="D34"/>
      <c r="E34"/>
      <c r="F34"/>
      <c r="G34"/>
      <c r="H34"/>
      <c r="I34"/>
      <c r="J34"/>
      <c r="K34"/>
      <c r="L34"/>
      <c r="M34"/>
      <c r="N34"/>
      <c r="O34"/>
      <c r="P34"/>
      <c r="Q34"/>
      <c r="R34"/>
      <c r="S34"/>
      <c r="T34" s="84"/>
      <c r="U34"/>
      <c r="V34" s="84"/>
      <c r="W34" s="84"/>
      <c r="X34"/>
      <c r="Y34"/>
      <c r="Z34"/>
      <c r="AA34" s="84"/>
      <c r="AB34"/>
      <c r="AC34" s="83"/>
      <c r="AD34" s="83"/>
      <c r="AE34" s="82"/>
    </row>
    <row r="35" spans="1:31" ht="15" x14ac:dyDescent="0.25">
      <c r="A35"/>
      <c r="B35"/>
      <c r="C35"/>
      <c r="D35"/>
      <c r="E35"/>
      <c r="F35"/>
      <c r="G35"/>
      <c r="H35"/>
      <c r="I35"/>
      <c r="J35"/>
      <c r="K35"/>
      <c r="L35"/>
      <c r="M35"/>
      <c r="N35"/>
      <c r="O35"/>
      <c r="P35"/>
      <c r="Q35"/>
      <c r="R35"/>
      <c r="S35"/>
      <c r="T35" s="84"/>
      <c r="U35"/>
      <c r="V35" s="84"/>
      <c r="W35" s="84"/>
      <c r="X35"/>
      <c r="Y35"/>
      <c r="Z35"/>
      <c r="AA35" s="84"/>
      <c r="AB35"/>
      <c r="AC35" s="83"/>
      <c r="AD35" s="83"/>
      <c r="AE35" s="82"/>
    </row>
    <row r="36" spans="1:31" ht="15" x14ac:dyDescent="0.25">
      <c r="A36"/>
      <c r="B36"/>
      <c r="C36"/>
      <c r="D36"/>
      <c r="E36"/>
      <c r="F36"/>
      <c r="G36"/>
      <c r="H36"/>
      <c r="I36"/>
      <c r="J36"/>
      <c r="K36"/>
      <c r="L36"/>
      <c r="M36"/>
      <c r="N36"/>
      <c r="O36"/>
      <c r="P36"/>
      <c r="Q36"/>
      <c r="R36"/>
      <c r="S36"/>
      <c r="T36" s="84"/>
      <c r="U36"/>
      <c r="V36" s="84"/>
      <c r="W36" s="84"/>
      <c r="X36"/>
      <c r="Y36"/>
      <c r="Z36"/>
      <c r="AA36" s="84"/>
      <c r="AB36"/>
      <c r="AC36" s="83"/>
      <c r="AD36" s="83"/>
      <c r="AE36" s="82"/>
    </row>
    <row r="37" spans="1:31" ht="15" x14ac:dyDescent="0.25">
      <c r="A37"/>
      <c r="B37"/>
      <c r="C37"/>
      <c r="D37"/>
      <c r="E37"/>
      <c r="F37"/>
      <c r="G37"/>
      <c r="H37"/>
      <c r="I37"/>
      <c r="J37"/>
      <c r="K37"/>
      <c r="L37"/>
      <c r="M37"/>
      <c r="N37"/>
      <c r="O37"/>
      <c r="P37"/>
      <c r="Q37"/>
      <c r="R37"/>
      <c r="S37"/>
      <c r="T37" s="84"/>
      <c r="U37"/>
      <c r="V37" s="84"/>
      <c r="W37" s="84"/>
      <c r="X37"/>
      <c r="Y37"/>
      <c r="Z37"/>
      <c r="AA37" s="84"/>
      <c r="AB37"/>
      <c r="AC37" s="83"/>
      <c r="AD37" s="83"/>
      <c r="AE37" s="82"/>
    </row>
    <row r="38" spans="1:31" ht="15" x14ac:dyDescent="0.25">
      <c r="A38"/>
      <c r="B38"/>
      <c r="C38"/>
      <c r="D38"/>
      <c r="E38"/>
      <c r="F38"/>
      <c r="G38"/>
      <c r="H38"/>
      <c r="I38"/>
      <c r="J38"/>
      <c r="K38"/>
      <c r="L38"/>
      <c r="M38"/>
      <c r="N38"/>
      <c r="O38"/>
      <c r="P38"/>
      <c r="Q38"/>
      <c r="R38"/>
      <c r="S38"/>
      <c r="T38" s="84"/>
      <c r="U38"/>
      <c r="V38" s="84"/>
      <c r="W38" s="84"/>
      <c r="X38"/>
      <c r="Y38"/>
      <c r="Z38"/>
      <c r="AA38" s="84"/>
      <c r="AB38"/>
      <c r="AC38" s="83"/>
      <c r="AD38" s="83"/>
      <c r="AE38" s="82"/>
    </row>
    <row r="39" spans="1:31" ht="15" x14ac:dyDescent="0.25">
      <c r="A39"/>
      <c r="B39"/>
      <c r="C39"/>
      <c r="D39"/>
      <c r="E39"/>
      <c r="F39"/>
      <c r="G39"/>
      <c r="H39"/>
      <c r="I39"/>
      <c r="J39"/>
      <c r="K39"/>
      <c r="L39"/>
      <c r="M39"/>
      <c r="N39"/>
      <c r="O39"/>
      <c r="P39"/>
      <c r="Q39"/>
      <c r="R39"/>
      <c r="S39"/>
      <c r="T39" s="84"/>
      <c r="U39"/>
      <c r="V39" s="84"/>
      <c r="W39" s="84"/>
      <c r="X39"/>
      <c r="Y39"/>
      <c r="Z39"/>
      <c r="AA39" s="84"/>
      <c r="AB39"/>
      <c r="AC39" s="83"/>
      <c r="AD39" s="83"/>
      <c r="AE39" s="82"/>
    </row>
    <row r="40" spans="1:31" ht="15" x14ac:dyDescent="0.25">
      <c r="A40"/>
      <c r="B40"/>
      <c r="C40"/>
      <c r="D40"/>
      <c r="E40"/>
      <c r="F40"/>
      <c r="G40"/>
      <c r="H40"/>
      <c r="I40"/>
      <c r="J40"/>
      <c r="K40"/>
      <c r="L40"/>
      <c r="M40"/>
      <c r="N40"/>
      <c r="O40"/>
      <c r="P40"/>
      <c r="Q40"/>
      <c r="R40"/>
      <c r="S40"/>
      <c r="T40" s="84"/>
      <c r="U40"/>
      <c r="V40" s="84"/>
      <c r="W40" s="84"/>
      <c r="X40"/>
      <c r="Y40"/>
      <c r="Z40"/>
      <c r="AA40" s="84"/>
      <c r="AB40"/>
      <c r="AC40" s="83"/>
      <c r="AD40" s="83"/>
      <c r="AE40" s="82"/>
    </row>
    <row r="41" spans="1:31" ht="15" x14ac:dyDescent="0.25">
      <c r="A41"/>
      <c r="B41"/>
      <c r="C41"/>
      <c r="D41"/>
      <c r="E41"/>
      <c r="F41"/>
      <c r="G41"/>
      <c r="H41"/>
      <c r="I41"/>
      <c r="J41"/>
      <c r="K41"/>
      <c r="L41"/>
      <c r="M41"/>
      <c r="N41"/>
      <c r="O41"/>
      <c r="P41"/>
      <c r="Q41"/>
      <c r="R41"/>
      <c r="S41"/>
      <c r="T41" s="84"/>
      <c r="U41"/>
      <c r="V41" s="84"/>
      <c r="W41" s="84"/>
      <c r="X41"/>
      <c r="Y41"/>
      <c r="Z41"/>
      <c r="AA41" s="84"/>
      <c r="AB41"/>
      <c r="AC41" s="83"/>
      <c r="AD41" s="83"/>
      <c r="AE41" s="82"/>
    </row>
    <row r="42" spans="1:31" ht="15" x14ac:dyDescent="0.25">
      <c r="A42"/>
      <c r="B42"/>
      <c r="C42"/>
      <c r="D42"/>
      <c r="E42"/>
      <c r="F42"/>
      <c r="G42"/>
      <c r="H42"/>
      <c r="I42"/>
      <c r="J42"/>
      <c r="K42"/>
      <c r="L42"/>
      <c r="M42"/>
      <c r="N42"/>
      <c r="O42"/>
      <c r="P42"/>
      <c r="Q42"/>
      <c r="R42"/>
      <c r="S42"/>
      <c r="T42" s="84"/>
      <c r="U42"/>
      <c r="V42" s="84"/>
      <c r="W42" s="84"/>
      <c r="X42"/>
      <c r="Y42"/>
      <c r="Z42"/>
      <c r="AA42" s="84"/>
      <c r="AB42"/>
      <c r="AC42" s="83"/>
      <c r="AD42" s="83"/>
      <c r="AE42" s="82"/>
    </row>
    <row r="43" spans="1:31" ht="15" x14ac:dyDescent="0.25">
      <c r="A43"/>
      <c r="B43"/>
      <c r="C43"/>
      <c r="D43"/>
      <c r="E43"/>
      <c r="F43"/>
      <c r="G43"/>
      <c r="H43"/>
      <c r="I43"/>
      <c r="J43"/>
      <c r="K43"/>
      <c r="L43"/>
      <c r="M43"/>
      <c r="N43"/>
      <c r="O43"/>
      <c r="P43"/>
      <c r="Q43"/>
      <c r="R43"/>
      <c r="S43"/>
      <c r="T43" s="84"/>
      <c r="U43"/>
      <c r="V43" s="84"/>
      <c r="W43" s="84"/>
      <c r="X43"/>
      <c r="Y43"/>
      <c r="Z43"/>
      <c r="AA43" s="84"/>
      <c r="AB43"/>
      <c r="AC43" s="83"/>
      <c r="AD43" s="83"/>
      <c r="AE43" s="82"/>
    </row>
    <row r="44" spans="1:31" ht="15" x14ac:dyDescent="0.25">
      <c r="A44"/>
      <c r="B44"/>
      <c r="C44"/>
      <c r="D44"/>
      <c r="E44"/>
      <c r="F44"/>
      <c r="G44"/>
      <c r="H44"/>
      <c r="I44"/>
      <c r="J44"/>
      <c r="K44"/>
      <c r="L44"/>
      <c r="M44"/>
      <c r="N44"/>
      <c r="O44"/>
      <c r="P44"/>
      <c r="Q44"/>
      <c r="R44"/>
      <c r="S44"/>
      <c r="T44" s="84"/>
      <c r="U44"/>
      <c r="V44" s="84"/>
      <c r="W44" s="84"/>
      <c r="X44"/>
      <c r="Y44"/>
      <c r="Z44"/>
      <c r="AA44" s="84"/>
      <c r="AB44"/>
      <c r="AC44" s="83"/>
      <c r="AD44" s="83"/>
      <c r="AE44" s="82"/>
    </row>
    <row r="45" spans="1:31" ht="15" x14ac:dyDescent="0.25">
      <c r="A45"/>
      <c r="B45"/>
      <c r="C45"/>
      <c r="D45"/>
      <c r="E45"/>
      <c r="F45"/>
      <c r="G45"/>
      <c r="H45"/>
      <c r="I45"/>
      <c r="J45"/>
      <c r="K45"/>
      <c r="L45"/>
      <c r="M45"/>
      <c r="N45"/>
      <c r="O45"/>
      <c r="P45"/>
      <c r="Q45"/>
      <c r="R45"/>
      <c r="S45"/>
      <c r="T45" s="84"/>
      <c r="U45"/>
      <c r="V45" s="84"/>
      <c r="W45" s="84"/>
      <c r="X45"/>
      <c r="Y45"/>
      <c r="Z45"/>
      <c r="AA45" s="84"/>
      <c r="AB45"/>
      <c r="AC45" s="83"/>
      <c r="AD45" s="83"/>
      <c r="AE45" s="82"/>
    </row>
    <row r="46" spans="1:31" ht="15" x14ac:dyDescent="0.25">
      <c r="A46"/>
      <c r="B46"/>
      <c r="C46"/>
      <c r="D46"/>
      <c r="E46"/>
      <c r="F46"/>
      <c r="G46"/>
      <c r="H46"/>
      <c r="I46"/>
      <c r="J46"/>
      <c r="K46"/>
      <c r="L46"/>
      <c r="M46"/>
      <c r="N46"/>
      <c r="O46"/>
      <c r="P46"/>
      <c r="Q46"/>
      <c r="R46"/>
      <c r="S46"/>
      <c r="T46" s="84"/>
      <c r="U46"/>
      <c r="V46" s="84"/>
      <c r="W46" s="84"/>
      <c r="X46"/>
      <c r="Y46"/>
      <c r="Z46"/>
      <c r="AA46" s="84"/>
      <c r="AB46"/>
      <c r="AC46" s="83"/>
      <c r="AD46" s="83"/>
      <c r="AE46" s="82"/>
    </row>
    <row r="47" spans="1:31" ht="15" x14ac:dyDescent="0.25">
      <c r="A47"/>
      <c r="B47"/>
      <c r="C47"/>
      <c r="D47"/>
      <c r="E47"/>
      <c r="F47"/>
      <c r="G47"/>
      <c r="H47"/>
      <c r="I47"/>
      <c r="J47"/>
      <c r="K47"/>
      <c r="L47"/>
      <c r="M47"/>
      <c r="N47"/>
      <c r="O47"/>
      <c r="P47"/>
      <c r="Q47"/>
      <c r="R47"/>
      <c r="S47"/>
      <c r="T47" s="84"/>
      <c r="U47"/>
      <c r="V47" s="84"/>
      <c r="W47" s="84"/>
      <c r="X47"/>
      <c r="Y47"/>
      <c r="Z47"/>
      <c r="AA47" s="84"/>
      <c r="AB47"/>
      <c r="AC47" s="83"/>
      <c r="AD47" s="83"/>
      <c r="AE47" s="82"/>
    </row>
    <row r="48" spans="1:31" ht="15" x14ac:dyDescent="0.25">
      <c r="A48"/>
      <c r="B48"/>
      <c r="C48"/>
      <c r="D48"/>
      <c r="E48"/>
      <c r="F48"/>
      <c r="G48"/>
      <c r="H48"/>
      <c r="I48"/>
      <c r="J48"/>
      <c r="K48"/>
      <c r="L48"/>
      <c r="M48"/>
      <c r="N48"/>
      <c r="O48"/>
      <c r="P48"/>
      <c r="Q48"/>
      <c r="R48"/>
      <c r="S48"/>
      <c r="T48" s="84"/>
      <c r="U48"/>
      <c r="V48" s="84"/>
      <c r="W48" s="84"/>
      <c r="X48"/>
      <c r="Y48"/>
      <c r="Z48"/>
      <c r="AA48" s="84"/>
      <c r="AB48"/>
      <c r="AC48" s="83"/>
      <c r="AD48" s="83"/>
      <c r="AE48" s="82"/>
    </row>
    <row r="49" spans="1:31" ht="15" x14ac:dyDescent="0.25">
      <c r="A49"/>
      <c r="B49"/>
      <c r="C49"/>
      <c r="D49"/>
      <c r="E49"/>
      <c r="F49"/>
      <c r="G49"/>
      <c r="H49"/>
      <c r="I49"/>
      <c r="J49"/>
      <c r="K49"/>
      <c r="L49"/>
      <c r="M49"/>
      <c r="N49"/>
      <c r="O49"/>
      <c r="P49"/>
      <c r="Q49"/>
      <c r="R49"/>
      <c r="S49"/>
      <c r="T49" s="84"/>
      <c r="U49"/>
      <c r="V49" s="84"/>
      <c r="W49" s="84"/>
      <c r="X49"/>
      <c r="Y49"/>
      <c r="Z49"/>
      <c r="AA49" s="84"/>
      <c r="AB49"/>
      <c r="AC49" s="83"/>
      <c r="AD49" s="83"/>
      <c r="AE49" s="82"/>
    </row>
    <row r="50" spans="1:31" ht="15" x14ac:dyDescent="0.25">
      <c r="A50"/>
      <c r="B50"/>
      <c r="C50"/>
      <c r="D50"/>
      <c r="E50"/>
      <c r="F50"/>
      <c r="G50"/>
      <c r="H50"/>
      <c r="I50"/>
      <c r="J50"/>
      <c r="K50"/>
      <c r="L50"/>
      <c r="M50"/>
      <c r="N50"/>
      <c r="O50"/>
      <c r="P50"/>
      <c r="Q50"/>
      <c r="R50"/>
      <c r="S50"/>
      <c r="T50" s="84"/>
      <c r="U50"/>
      <c r="V50" s="84"/>
      <c r="W50" s="84"/>
      <c r="X50"/>
      <c r="Y50"/>
      <c r="Z50"/>
      <c r="AA50" s="84"/>
      <c r="AB50"/>
      <c r="AC50" s="83"/>
      <c r="AD50" s="83"/>
      <c r="AE50" s="82"/>
    </row>
    <row r="51" spans="1:31" ht="15" x14ac:dyDescent="0.25">
      <c r="A51"/>
      <c r="B51"/>
      <c r="C51"/>
      <c r="D51"/>
      <c r="E51"/>
      <c r="F51"/>
      <c r="G51"/>
      <c r="H51"/>
      <c r="I51"/>
      <c r="J51"/>
      <c r="K51"/>
      <c r="L51"/>
      <c r="M51"/>
      <c r="N51"/>
      <c r="O51"/>
      <c r="P51"/>
      <c r="Q51"/>
      <c r="R51"/>
      <c r="S51"/>
      <c r="T51" s="84"/>
      <c r="U51"/>
      <c r="V51" s="84"/>
      <c r="W51" s="84"/>
      <c r="X51"/>
      <c r="Y51"/>
      <c r="Z51"/>
      <c r="AA51" s="84"/>
      <c r="AB51"/>
      <c r="AC51" s="83"/>
      <c r="AD51" s="83"/>
      <c r="AE51" s="82"/>
    </row>
    <row r="52" spans="1:31" ht="15" x14ac:dyDescent="0.25">
      <c r="A52"/>
      <c r="B52"/>
      <c r="C52"/>
      <c r="D52"/>
      <c r="E52"/>
      <c r="F52"/>
      <c r="G52"/>
      <c r="H52"/>
      <c r="I52"/>
      <c r="J52"/>
      <c r="K52"/>
      <c r="L52"/>
      <c r="M52"/>
      <c r="N52"/>
      <c r="O52"/>
      <c r="P52"/>
      <c r="Q52"/>
      <c r="R52"/>
      <c r="S52"/>
      <c r="T52" s="84"/>
      <c r="U52"/>
      <c r="V52" s="84"/>
      <c r="W52" s="84"/>
      <c r="X52"/>
      <c r="Y52"/>
      <c r="Z52"/>
      <c r="AA52" s="84"/>
      <c r="AB52"/>
      <c r="AC52" s="83"/>
      <c r="AD52" s="83"/>
      <c r="AE52" s="82"/>
    </row>
    <row r="53" spans="1:31" ht="15" x14ac:dyDescent="0.25">
      <c r="A53"/>
      <c r="B53"/>
      <c r="C53"/>
      <c r="D53"/>
      <c r="E53"/>
      <c r="F53"/>
      <c r="G53"/>
      <c r="H53"/>
      <c r="I53"/>
      <c r="J53"/>
      <c r="K53"/>
      <c r="L53"/>
      <c r="M53"/>
      <c r="N53"/>
      <c r="O53"/>
      <c r="P53"/>
      <c r="Q53"/>
      <c r="R53"/>
      <c r="S53"/>
      <c r="T53" s="84"/>
      <c r="U53"/>
      <c r="V53" s="84"/>
      <c r="W53" s="84"/>
      <c r="X53"/>
      <c r="Y53"/>
      <c r="Z53"/>
      <c r="AA53" s="84"/>
      <c r="AB53"/>
      <c r="AC53" s="83"/>
      <c r="AD53" s="83"/>
      <c r="AE53" s="82"/>
    </row>
    <row r="54" spans="1:31" ht="15" x14ac:dyDescent="0.25">
      <c r="A54"/>
      <c r="B54"/>
      <c r="C54"/>
      <c r="D54"/>
      <c r="E54"/>
      <c r="F54"/>
      <c r="G54"/>
      <c r="H54"/>
      <c r="I54"/>
      <c r="J54"/>
      <c r="K54"/>
      <c r="L54"/>
      <c r="M54"/>
      <c r="N54"/>
      <c r="O54"/>
      <c r="P54"/>
      <c r="Q54"/>
      <c r="R54"/>
      <c r="S54"/>
      <c r="T54" s="84"/>
      <c r="U54"/>
      <c r="V54" s="84"/>
      <c r="W54" s="84"/>
      <c r="X54"/>
      <c r="Y54"/>
      <c r="Z54"/>
      <c r="AA54" s="84"/>
      <c r="AB54"/>
      <c r="AC54" s="83"/>
      <c r="AD54" s="83"/>
      <c r="AE54" s="82"/>
    </row>
    <row r="55" spans="1:31" ht="15" x14ac:dyDescent="0.25">
      <c r="A55"/>
      <c r="B55"/>
      <c r="C55"/>
      <c r="D55"/>
      <c r="E55"/>
      <c r="F55"/>
      <c r="G55"/>
      <c r="H55"/>
      <c r="I55"/>
      <c r="J55"/>
      <c r="K55"/>
      <c r="L55"/>
      <c r="M55"/>
      <c r="N55"/>
      <c r="O55"/>
      <c r="P55"/>
      <c r="Q55"/>
      <c r="R55"/>
      <c r="S55"/>
      <c r="T55" s="84"/>
      <c r="U55"/>
      <c r="V55" s="84"/>
      <c r="W55" s="84"/>
      <c r="X55"/>
      <c r="Y55"/>
      <c r="Z55"/>
      <c r="AA55" s="84"/>
      <c r="AB55"/>
      <c r="AC55" s="83"/>
      <c r="AD55" s="83"/>
      <c r="AE55" s="82"/>
    </row>
    <row r="56" spans="1:31" ht="15" x14ac:dyDescent="0.25">
      <c r="A56"/>
      <c r="B56"/>
      <c r="C56"/>
      <c r="D56"/>
      <c r="E56"/>
      <c r="F56"/>
      <c r="G56"/>
      <c r="H56"/>
      <c r="I56"/>
      <c r="J56"/>
      <c r="K56"/>
      <c r="L56"/>
      <c r="M56"/>
      <c r="N56"/>
      <c r="O56"/>
      <c r="P56"/>
      <c r="Q56"/>
      <c r="R56"/>
      <c r="S56"/>
      <c r="T56" s="84"/>
      <c r="U56"/>
      <c r="V56" s="84"/>
      <c r="W56" s="84"/>
      <c r="X56"/>
      <c r="Y56"/>
      <c r="Z56"/>
      <c r="AA56" s="84"/>
      <c r="AB56"/>
      <c r="AC56" s="83"/>
      <c r="AD56" s="83"/>
      <c r="AE56" s="82"/>
    </row>
    <row r="57" spans="1:31" ht="15" x14ac:dyDescent="0.25">
      <c r="A57"/>
      <c r="B57"/>
      <c r="C57"/>
      <c r="D57"/>
      <c r="E57"/>
      <c r="F57"/>
      <c r="G57"/>
      <c r="H57"/>
      <c r="I57"/>
      <c r="J57"/>
      <c r="K57"/>
      <c r="L57"/>
      <c r="M57"/>
      <c r="N57"/>
      <c r="O57"/>
      <c r="P57"/>
      <c r="Q57"/>
      <c r="R57"/>
      <c r="S57"/>
      <c r="T57" s="84"/>
      <c r="U57"/>
      <c r="V57" s="84"/>
      <c r="W57" s="84"/>
      <c r="X57"/>
      <c r="Y57"/>
      <c r="Z57"/>
      <c r="AA57" s="84"/>
      <c r="AB57"/>
      <c r="AC57" s="83"/>
      <c r="AD57" s="83"/>
      <c r="AE57" s="82"/>
    </row>
    <row r="58" spans="1:31" ht="15" x14ac:dyDescent="0.25">
      <c r="A58"/>
      <c r="B58"/>
      <c r="C58"/>
      <c r="D58"/>
      <c r="E58"/>
      <c r="F58"/>
      <c r="G58"/>
      <c r="H58"/>
      <c r="I58"/>
      <c r="J58"/>
      <c r="K58"/>
      <c r="L58"/>
      <c r="M58"/>
      <c r="N58"/>
      <c r="O58"/>
      <c r="P58"/>
      <c r="Q58"/>
      <c r="R58"/>
      <c r="S58"/>
      <c r="T58" s="84"/>
      <c r="U58"/>
      <c r="V58" s="84"/>
      <c r="W58" s="84"/>
      <c r="X58"/>
      <c r="Y58"/>
      <c r="Z58"/>
      <c r="AA58" s="84"/>
      <c r="AB58"/>
      <c r="AC58" s="83"/>
      <c r="AD58" s="83"/>
      <c r="AE58" s="82"/>
    </row>
    <row r="59" spans="1:31" ht="15" x14ac:dyDescent="0.25">
      <c r="A59"/>
      <c r="B59"/>
      <c r="C59"/>
      <c r="D59"/>
      <c r="E59"/>
      <c r="F59"/>
      <c r="G59"/>
      <c r="H59"/>
      <c r="I59"/>
      <c r="J59"/>
      <c r="K59"/>
      <c r="L59"/>
      <c r="M59"/>
      <c r="N59"/>
      <c r="O59"/>
      <c r="P59"/>
      <c r="Q59"/>
      <c r="R59"/>
      <c r="S59"/>
      <c r="T59" s="84"/>
      <c r="U59"/>
      <c r="V59" s="84"/>
      <c r="W59" s="84"/>
      <c r="X59"/>
      <c r="Y59"/>
      <c r="Z59"/>
      <c r="AA59" s="84"/>
      <c r="AB59"/>
      <c r="AC59" s="83"/>
      <c r="AD59" s="83"/>
      <c r="AE59" s="82"/>
    </row>
    <row r="60" spans="1:31" ht="15" x14ac:dyDescent="0.25">
      <c r="A60"/>
      <c r="B60"/>
      <c r="C60"/>
      <c r="D60"/>
      <c r="E60"/>
      <c r="F60"/>
      <c r="G60"/>
      <c r="H60"/>
      <c r="I60"/>
      <c r="J60"/>
      <c r="K60"/>
      <c r="L60"/>
      <c r="M60"/>
      <c r="N60"/>
      <c r="O60"/>
      <c r="P60"/>
      <c r="Q60"/>
      <c r="R60"/>
      <c r="S60"/>
      <c r="T60" s="84"/>
      <c r="U60"/>
      <c r="V60" s="84"/>
      <c r="W60" s="84"/>
      <c r="X60"/>
      <c r="Y60"/>
      <c r="Z60"/>
      <c r="AA60" s="84"/>
      <c r="AB60"/>
      <c r="AC60" s="83"/>
      <c r="AD60" s="83"/>
      <c r="AE60" s="82"/>
    </row>
    <row r="61" spans="1:31" ht="15" x14ac:dyDescent="0.25">
      <c r="A61"/>
      <c r="B61"/>
      <c r="C61"/>
      <c r="D61"/>
      <c r="E61"/>
      <c r="F61"/>
      <c r="G61"/>
      <c r="H61"/>
      <c r="I61"/>
      <c r="J61"/>
      <c r="K61"/>
      <c r="L61"/>
      <c r="M61"/>
      <c r="N61"/>
      <c r="O61"/>
      <c r="P61"/>
      <c r="Q61"/>
      <c r="R61"/>
      <c r="S61"/>
      <c r="T61" s="84"/>
      <c r="U61"/>
      <c r="V61" s="84"/>
      <c r="W61" s="84"/>
      <c r="X61"/>
      <c r="Y61"/>
      <c r="Z61"/>
      <c r="AA61" s="84"/>
      <c r="AB61"/>
      <c r="AC61" s="83"/>
      <c r="AD61" s="83"/>
      <c r="AE61" s="82"/>
    </row>
    <row r="62" spans="1:31" ht="15" x14ac:dyDescent="0.25">
      <c r="A62"/>
      <c r="B62"/>
      <c r="C62"/>
      <c r="D62"/>
      <c r="E62"/>
      <c r="F62"/>
      <c r="G62"/>
      <c r="H62"/>
      <c r="I62"/>
      <c r="J62"/>
      <c r="K62"/>
      <c r="L62"/>
      <c r="M62"/>
      <c r="N62"/>
      <c r="O62"/>
      <c r="P62"/>
      <c r="Q62"/>
      <c r="R62"/>
      <c r="S62"/>
      <c r="T62" s="84"/>
      <c r="U62"/>
      <c r="V62" s="84"/>
      <c r="W62" s="84"/>
      <c r="X62"/>
      <c r="Y62"/>
      <c r="Z62"/>
      <c r="AA62" s="84"/>
      <c r="AB62"/>
      <c r="AC62" s="83"/>
      <c r="AD62" s="83"/>
      <c r="AE62" s="82"/>
    </row>
    <row r="63" spans="1:31" ht="15" x14ac:dyDescent="0.25">
      <c r="A63"/>
      <c r="B63"/>
      <c r="C63"/>
      <c r="D63"/>
      <c r="E63"/>
      <c r="F63"/>
      <c r="G63"/>
      <c r="H63"/>
      <c r="I63"/>
      <c r="J63"/>
      <c r="K63"/>
      <c r="L63"/>
      <c r="M63"/>
      <c r="N63"/>
      <c r="O63"/>
      <c r="P63"/>
      <c r="Q63"/>
      <c r="R63"/>
      <c r="S63"/>
      <c r="T63" s="84"/>
      <c r="U63"/>
      <c r="V63" s="84"/>
      <c r="W63" s="84"/>
      <c r="X63"/>
      <c r="Y63"/>
      <c r="Z63"/>
      <c r="AA63" s="84"/>
      <c r="AB63"/>
      <c r="AC63" s="83"/>
      <c r="AD63" s="83"/>
      <c r="AE63" s="82"/>
    </row>
    <row r="64" spans="1:31" ht="15" x14ac:dyDescent="0.25">
      <c r="A64"/>
      <c r="B64"/>
      <c r="C64"/>
      <c r="D64"/>
      <c r="E64"/>
      <c r="F64"/>
      <c r="G64"/>
      <c r="H64"/>
      <c r="I64"/>
      <c r="J64"/>
      <c r="K64"/>
      <c r="L64"/>
      <c r="M64"/>
      <c r="N64"/>
      <c r="O64"/>
      <c r="P64"/>
      <c r="Q64"/>
      <c r="R64"/>
      <c r="S64"/>
      <c r="T64" s="84"/>
      <c r="U64"/>
      <c r="V64" s="84"/>
      <c r="W64" s="84"/>
      <c r="X64"/>
      <c r="Y64"/>
      <c r="Z64"/>
      <c r="AA64" s="84"/>
      <c r="AB64"/>
      <c r="AC64" s="83"/>
      <c r="AD64" s="83"/>
      <c r="AE64" s="82"/>
    </row>
    <row r="65" spans="1:31" ht="15" x14ac:dyDescent="0.25">
      <c r="A65"/>
      <c r="B65"/>
      <c r="C65"/>
      <c r="D65"/>
      <c r="E65"/>
      <c r="F65"/>
      <c r="G65"/>
      <c r="H65"/>
      <c r="I65"/>
      <c r="J65"/>
      <c r="K65"/>
      <c r="L65"/>
      <c r="M65"/>
      <c r="N65"/>
      <c r="O65"/>
      <c r="P65"/>
      <c r="Q65"/>
      <c r="R65"/>
      <c r="S65"/>
      <c r="T65" s="84"/>
      <c r="U65"/>
      <c r="V65" s="84"/>
      <c r="W65" s="84"/>
      <c r="X65"/>
      <c r="Y65"/>
      <c r="Z65"/>
      <c r="AA65" s="84"/>
      <c r="AB65"/>
      <c r="AC65" s="83"/>
      <c r="AD65" s="83"/>
      <c r="AE65" s="82"/>
    </row>
    <row r="66" spans="1:31" ht="15" x14ac:dyDescent="0.25">
      <c r="A66"/>
      <c r="B66"/>
      <c r="C66"/>
      <c r="D66"/>
      <c r="E66"/>
      <c r="F66"/>
      <c r="G66"/>
      <c r="H66"/>
      <c r="I66"/>
      <c r="J66"/>
      <c r="K66"/>
      <c r="L66"/>
      <c r="M66"/>
      <c r="N66"/>
      <c r="O66"/>
      <c r="P66"/>
      <c r="Q66"/>
      <c r="R66"/>
      <c r="S66"/>
      <c r="T66" s="84"/>
      <c r="U66"/>
      <c r="V66" s="84"/>
      <c r="W66" s="84"/>
      <c r="X66"/>
      <c r="Y66"/>
      <c r="Z66"/>
      <c r="AA66" s="84"/>
      <c r="AB66"/>
      <c r="AC66" s="83"/>
      <c r="AD66" s="83"/>
      <c r="AE66" s="82"/>
    </row>
    <row r="67" spans="1:31" ht="15" x14ac:dyDescent="0.25">
      <c r="A67"/>
      <c r="B67"/>
      <c r="C67"/>
      <c r="D67"/>
      <c r="E67"/>
      <c r="F67"/>
      <c r="G67"/>
      <c r="H67"/>
      <c r="I67"/>
      <c r="J67"/>
      <c r="K67"/>
      <c r="L67"/>
      <c r="M67"/>
      <c r="N67"/>
      <c r="O67"/>
      <c r="P67"/>
      <c r="Q67"/>
      <c r="R67"/>
      <c r="S67"/>
      <c r="T67" s="84"/>
      <c r="U67"/>
      <c r="V67" s="84"/>
      <c r="W67" s="84"/>
      <c r="X67"/>
      <c r="Y67"/>
      <c r="Z67"/>
      <c r="AA67" s="84"/>
      <c r="AB67"/>
      <c r="AC67" s="83"/>
      <c r="AD67" s="83"/>
      <c r="AE67" s="82"/>
    </row>
    <row r="68" spans="1:31" ht="15" x14ac:dyDescent="0.25">
      <c r="A68"/>
      <c r="B68"/>
      <c r="C68"/>
      <c r="D68"/>
      <c r="E68"/>
      <c r="F68"/>
      <c r="G68"/>
      <c r="H68"/>
      <c r="I68"/>
      <c r="J68"/>
      <c r="K68"/>
      <c r="L68"/>
      <c r="M68"/>
      <c r="N68"/>
      <c r="O68"/>
      <c r="P68"/>
      <c r="Q68"/>
      <c r="R68"/>
      <c r="S68"/>
      <c r="T68" s="84"/>
      <c r="U68"/>
      <c r="V68" s="84"/>
      <c r="W68" s="84"/>
      <c r="X68"/>
      <c r="Y68"/>
      <c r="Z68"/>
      <c r="AA68" s="84"/>
      <c r="AB68"/>
      <c r="AC68" s="83"/>
      <c r="AD68" s="83"/>
      <c r="AE68" s="82"/>
    </row>
    <row r="69" spans="1:31" ht="15" x14ac:dyDescent="0.25">
      <c r="A69"/>
      <c r="B69"/>
      <c r="C69"/>
      <c r="D69"/>
      <c r="E69"/>
      <c r="F69"/>
      <c r="G69"/>
      <c r="H69"/>
      <c r="I69"/>
      <c r="J69"/>
      <c r="K69"/>
      <c r="L69"/>
      <c r="M69"/>
      <c r="N69"/>
      <c r="O69"/>
      <c r="P69"/>
      <c r="Q69"/>
      <c r="R69"/>
      <c r="S69"/>
      <c r="T69" s="84"/>
      <c r="U69"/>
      <c r="V69" s="84"/>
      <c r="W69" s="84"/>
      <c r="X69"/>
      <c r="Y69"/>
      <c r="Z69"/>
      <c r="AA69" s="84"/>
      <c r="AB69"/>
      <c r="AC69" s="83"/>
      <c r="AD69" s="83"/>
      <c r="AE69" s="82"/>
    </row>
    <row r="70" spans="1:31" ht="15" x14ac:dyDescent="0.25">
      <c r="A70"/>
      <c r="B70"/>
      <c r="C70"/>
      <c r="D70"/>
      <c r="E70"/>
      <c r="F70"/>
      <c r="G70"/>
      <c r="H70"/>
      <c r="I70"/>
      <c r="J70"/>
      <c r="K70"/>
      <c r="L70"/>
      <c r="M70"/>
      <c r="N70"/>
      <c r="O70"/>
      <c r="P70"/>
      <c r="Q70"/>
      <c r="R70"/>
      <c r="S70"/>
      <c r="T70" s="84"/>
      <c r="U70"/>
      <c r="V70" s="84"/>
      <c r="W70" s="84"/>
      <c r="X70"/>
      <c r="Y70"/>
      <c r="Z70"/>
      <c r="AA70" s="84"/>
      <c r="AB70"/>
      <c r="AC70" s="83"/>
      <c r="AD70" s="83"/>
      <c r="AE70" s="82"/>
    </row>
    <row r="71" spans="1:31" ht="15" x14ac:dyDescent="0.25">
      <c r="A71"/>
      <c r="B71"/>
      <c r="C71"/>
      <c r="D71"/>
      <c r="E71"/>
      <c r="F71"/>
      <c r="G71"/>
      <c r="H71"/>
      <c r="I71"/>
      <c r="J71"/>
      <c r="K71"/>
      <c r="L71"/>
      <c r="M71"/>
      <c r="N71"/>
      <c r="O71"/>
      <c r="P71"/>
      <c r="Q71"/>
      <c r="R71"/>
      <c r="S71"/>
      <c r="T71" s="84"/>
      <c r="U71"/>
      <c r="V71" s="84"/>
      <c r="W71" s="84"/>
      <c r="X71"/>
      <c r="Y71"/>
      <c r="Z71"/>
      <c r="AA71" s="84"/>
      <c r="AB71"/>
      <c r="AC71" s="83"/>
      <c r="AD71" s="83"/>
      <c r="AE71" s="82"/>
    </row>
    <row r="72" spans="1:31" ht="15" x14ac:dyDescent="0.25">
      <c r="A72"/>
      <c r="B72"/>
      <c r="C72"/>
      <c r="D72"/>
      <c r="E72"/>
      <c r="F72"/>
      <c r="G72"/>
      <c r="H72"/>
      <c r="I72"/>
      <c r="J72"/>
      <c r="K72"/>
      <c r="L72"/>
      <c r="M72"/>
      <c r="N72"/>
      <c r="O72"/>
      <c r="P72"/>
      <c r="Q72"/>
      <c r="R72"/>
      <c r="S72"/>
      <c r="T72" s="84"/>
      <c r="U72"/>
      <c r="V72" s="84"/>
      <c r="W72" s="84"/>
      <c r="X72"/>
      <c r="Y72"/>
      <c r="Z72"/>
      <c r="AA72" s="84"/>
      <c r="AB72"/>
      <c r="AC72" s="83"/>
      <c r="AD72" s="83"/>
      <c r="AE72" s="82"/>
    </row>
    <row r="73" spans="1:31" ht="15" x14ac:dyDescent="0.25">
      <c r="A73"/>
      <c r="B73"/>
      <c r="C73"/>
      <c r="D73"/>
      <c r="E73"/>
      <c r="F73"/>
      <c r="G73"/>
      <c r="H73"/>
      <c r="I73"/>
      <c r="J73"/>
      <c r="K73"/>
      <c r="L73"/>
      <c r="M73"/>
      <c r="N73"/>
      <c r="O73"/>
      <c r="P73"/>
      <c r="Q73"/>
      <c r="R73"/>
      <c r="S73"/>
      <c r="T73" s="84"/>
      <c r="U73"/>
      <c r="V73" s="84"/>
      <c r="W73" s="84"/>
      <c r="X73"/>
      <c r="Y73"/>
      <c r="Z73"/>
      <c r="AA73" s="84"/>
      <c r="AB73"/>
      <c r="AC73" s="83"/>
      <c r="AD73" s="83"/>
      <c r="AE73" s="82"/>
    </row>
    <row r="74" spans="1:31" ht="15" x14ac:dyDescent="0.25">
      <c r="A74"/>
      <c r="B74"/>
      <c r="C74"/>
      <c r="D74"/>
      <c r="E74"/>
      <c r="F74"/>
      <c r="G74"/>
      <c r="H74"/>
      <c r="I74"/>
      <c r="J74"/>
      <c r="K74"/>
      <c r="L74"/>
      <c r="M74"/>
      <c r="N74"/>
      <c r="O74"/>
      <c r="P74"/>
      <c r="Q74"/>
      <c r="R74"/>
      <c r="S74"/>
      <c r="T74" s="84"/>
      <c r="U74"/>
      <c r="V74" s="84"/>
      <c r="W74" s="84"/>
      <c r="X74"/>
      <c r="Y74"/>
      <c r="Z74"/>
      <c r="AA74" s="84"/>
      <c r="AB74"/>
      <c r="AC74" s="83"/>
      <c r="AD74" s="83"/>
      <c r="AE74" s="82"/>
    </row>
    <row r="75" spans="1:31" ht="15" x14ac:dyDescent="0.25">
      <c r="A75"/>
      <c r="B75"/>
      <c r="C75"/>
      <c r="D75"/>
      <c r="E75"/>
      <c r="F75"/>
      <c r="G75"/>
      <c r="H75"/>
      <c r="I75"/>
      <c r="J75"/>
      <c r="K75"/>
      <c r="L75"/>
      <c r="M75"/>
      <c r="N75"/>
      <c r="O75"/>
      <c r="P75"/>
      <c r="Q75"/>
      <c r="R75"/>
      <c r="S75"/>
      <c r="T75" s="84"/>
      <c r="U75"/>
      <c r="V75" s="84"/>
      <c r="W75" s="84"/>
      <c r="X75"/>
      <c r="Y75"/>
      <c r="Z75"/>
      <c r="AA75" s="84"/>
      <c r="AB75"/>
      <c r="AC75" s="83"/>
      <c r="AD75" s="83"/>
      <c r="AE75" s="82"/>
    </row>
    <row r="76" spans="1:31" ht="15" x14ac:dyDescent="0.25">
      <c r="A76"/>
      <c r="B76"/>
      <c r="C76"/>
      <c r="D76"/>
      <c r="E76"/>
      <c r="F76"/>
      <c r="G76"/>
      <c r="H76"/>
      <c r="I76"/>
      <c r="J76"/>
      <c r="K76"/>
      <c r="L76"/>
      <c r="M76"/>
      <c r="N76"/>
      <c r="O76"/>
      <c r="P76"/>
      <c r="Q76"/>
      <c r="R76"/>
      <c r="S76"/>
      <c r="T76" s="84"/>
      <c r="U76"/>
      <c r="V76" s="84"/>
      <c r="W76" s="84"/>
      <c r="X76"/>
      <c r="Y76"/>
      <c r="Z76"/>
      <c r="AA76" s="84"/>
      <c r="AB76"/>
      <c r="AC76" s="83"/>
      <c r="AD76" s="83"/>
      <c r="AE76" s="82"/>
    </row>
    <row r="77" spans="1:31" ht="15" x14ac:dyDescent="0.25">
      <c r="A77"/>
      <c r="B77"/>
      <c r="C77"/>
      <c r="D77"/>
      <c r="E77"/>
      <c r="F77"/>
      <c r="G77"/>
      <c r="H77"/>
      <c r="I77"/>
      <c r="J77"/>
      <c r="K77"/>
      <c r="L77"/>
      <c r="M77"/>
      <c r="N77"/>
      <c r="O77"/>
      <c r="P77"/>
      <c r="Q77"/>
      <c r="R77"/>
      <c r="S77"/>
      <c r="T77" s="84"/>
      <c r="U77"/>
      <c r="V77" s="84"/>
      <c r="W77" s="84"/>
      <c r="X77"/>
      <c r="Y77"/>
      <c r="Z77"/>
      <c r="AA77" s="84"/>
      <c r="AB77"/>
      <c r="AC77" s="83"/>
      <c r="AD77" s="83"/>
      <c r="AE77" s="82"/>
    </row>
    <row r="78" spans="1:31" ht="15" x14ac:dyDescent="0.25">
      <c r="A78"/>
      <c r="B78"/>
      <c r="C78"/>
      <c r="D78"/>
      <c r="E78"/>
      <c r="F78"/>
      <c r="G78"/>
      <c r="H78"/>
      <c r="I78"/>
      <c r="J78"/>
      <c r="K78"/>
      <c r="L78"/>
      <c r="M78"/>
      <c r="N78"/>
      <c r="O78"/>
      <c r="P78"/>
      <c r="Q78"/>
      <c r="R78"/>
      <c r="S78"/>
      <c r="T78" s="84"/>
      <c r="U78"/>
      <c r="V78" s="84"/>
      <c r="W78" s="84"/>
      <c r="X78"/>
      <c r="Y78"/>
      <c r="Z78"/>
      <c r="AA78" s="84"/>
      <c r="AB78"/>
      <c r="AC78" s="83"/>
      <c r="AD78" s="83"/>
      <c r="AE78" s="82"/>
    </row>
    <row r="79" spans="1:31" ht="15" x14ac:dyDescent="0.25">
      <c r="A79"/>
      <c r="B79"/>
      <c r="C79"/>
      <c r="D79"/>
      <c r="E79"/>
      <c r="F79"/>
      <c r="G79"/>
      <c r="H79"/>
      <c r="I79"/>
      <c r="J79"/>
      <c r="K79"/>
      <c r="L79"/>
      <c r="M79"/>
      <c r="N79"/>
      <c r="O79"/>
      <c r="P79"/>
      <c r="Q79"/>
      <c r="R79"/>
      <c r="S79"/>
      <c r="T79" s="84"/>
      <c r="U79"/>
      <c r="V79" s="84"/>
      <c r="W79" s="84"/>
      <c r="X79"/>
      <c r="Y79"/>
      <c r="Z79"/>
      <c r="AA79" s="84"/>
      <c r="AB79"/>
      <c r="AC79" s="83"/>
      <c r="AD79" s="83"/>
      <c r="AE79" s="82"/>
    </row>
    <row r="80" spans="1:31" ht="15" x14ac:dyDescent="0.25">
      <c r="A80"/>
      <c r="B80"/>
      <c r="C80"/>
      <c r="D80"/>
      <c r="E80"/>
      <c r="F80"/>
      <c r="G80"/>
      <c r="H80"/>
      <c r="I80"/>
      <c r="J80"/>
      <c r="K80"/>
      <c r="L80"/>
      <c r="M80"/>
      <c r="N80"/>
      <c r="O80"/>
      <c r="P80"/>
      <c r="Q80"/>
      <c r="R80"/>
      <c r="S80"/>
      <c r="T80" s="84"/>
      <c r="U80"/>
      <c r="V80" s="84"/>
      <c r="W80" s="84"/>
      <c r="X80"/>
      <c r="Y80"/>
      <c r="Z80"/>
      <c r="AA80" s="84"/>
      <c r="AB80"/>
      <c r="AC80" s="83"/>
      <c r="AD80" s="83"/>
      <c r="AE80" s="82"/>
    </row>
    <row r="81" spans="1:31" ht="15" x14ac:dyDescent="0.25">
      <c r="A81"/>
      <c r="B81"/>
      <c r="C81"/>
      <c r="D81"/>
      <c r="E81"/>
      <c r="F81"/>
      <c r="G81"/>
      <c r="H81"/>
      <c r="I81"/>
      <c r="J81"/>
      <c r="K81"/>
      <c r="L81"/>
      <c r="M81"/>
      <c r="N81"/>
      <c r="O81"/>
      <c r="P81"/>
      <c r="Q81"/>
      <c r="R81"/>
      <c r="S81"/>
      <c r="T81" s="84"/>
      <c r="U81"/>
      <c r="V81" s="84"/>
      <c r="W81" s="84"/>
      <c r="X81"/>
      <c r="Y81"/>
      <c r="Z81"/>
      <c r="AA81" s="84"/>
      <c r="AB81"/>
      <c r="AC81" s="83"/>
      <c r="AD81" s="83"/>
      <c r="AE81" s="82"/>
    </row>
    <row r="82" spans="1:31" ht="15" x14ac:dyDescent="0.25">
      <c r="A82"/>
      <c r="B82"/>
      <c r="C82"/>
      <c r="D82"/>
      <c r="E82"/>
      <c r="F82"/>
      <c r="G82"/>
      <c r="H82"/>
      <c r="I82"/>
      <c r="J82"/>
      <c r="K82"/>
      <c r="L82"/>
      <c r="M82"/>
      <c r="N82"/>
      <c r="O82"/>
      <c r="P82"/>
      <c r="Q82"/>
      <c r="R82"/>
      <c r="S82"/>
      <c r="T82" s="84"/>
      <c r="U82"/>
      <c r="V82" s="84"/>
      <c r="W82" s="84"/>
      <c r="X82"/>
      <c r="Y82"/>
      <c r="Z82"/>
      <c r="AA82" s="84"/>
      <c r="AB82"/>
      <c r="AC82" s="83"/>
      <c r="AD82" s="83"/>
      <c r="AE82" s="82"/>
    </row>
    <row r="83" spans="1:31" ht="15" x14ac:dyDescent="0.25">
      <c r="A83"/>
      <c r="B83"/>
      <c r="C83"/>
      <c r="D83"/>
      <c r="E83"/>
      <c r="F83"/>
      <c r="G83"/>
      <c r="H83"/>
      <c r="I83"/>
      <c r="J83"/>
      <c r="K83"/>
      <c r="L83"/>
      <c r="M83"/>
      <c r="N83"/>
      <c r="O83"/>
      <c r="P83"/>
      <c r="Q83"/>
      <c r="R83"/>
      <c r="S83"/>
      <c r="T83" s="84"/>
      <c r="U83"/>
      <c r="V83" s="84"/>
      <c r="W83" s="84"/>
      <c r="X83"/>
      <c r="Y83"/>
      <c r="Z83"/>
      <c r="AA83" s="84"/>
      <c r="AB83"/>
      <c r="AC83" s="83"/>
      <c r="AD83" s="83"/>
      <c r="AE83" s="82"/>
    </row>
    <row r="84" spans="1:31" ht="15" x14ac:dyDescent="0.25">
      <c r="A84"/>
      <c r="B84"/>
      <c r="C84"/>
      <c r="D84"/>
      <c r="E84"/>
      <c r="F84"/>
      <c r="G84"/>
      <c r="H84"/>
      <c r="I84"/>
      <c r="J84"/>
      <c r="K84"/>
      <c r="L84"/>
      <c r="M84"/>
      <c r="N84"/>
      <c r="O84"/>
      <c r="P84"/>
      <c r="Q84"/>
      <c r="R84"/>
      <c r="S84"/>
      <c r="T84" s="84"/>
      <c r="U84"/>
      <c r="V84" s="84"/>
      <c r="W84" s="84"/>
      <c r="X84"/>
      <c r="Y84"/>
      <c r="Z84"/>
      <c r="AA84" s="84"/>
      <c r="AB84"/>
      <c r="AC84" s="83"/>
      <c r="AD84" s="83"/>
      <c r="AE84" s="82"/>
    </row>
    <row r="85" spans="1:31" ht="15" x14ac:dyDescent="0.25">
      <c r="A85"/>
      <c r="B85"/>
      <c r="C85"/>
      <c r="D85"/>
      <c r="E85"/>
      <c r="F85"/>
      <c r="G85"/>
      <c r="H85"/>
      <c r="I85"/>
      <c r="J85"/>
      <c r="K85"/>
      <c r="L85"/>
      <c r="M85"/>
      <c r="N85"/>
      <c r="O85"/>
      <c r="P85"/>
      <c r="Q85"/>
      <c r="R85"/>
      <c r="S85"/>
      <c r="T85" s="84"/>
      <c r="U85"/>
      <c r="V85" s="84"/>
      <c r="W85" s="84"/>
      <c r="X85"/>
      <c r="Y85"/>
      <c r="Z85"/>
      <c r="AA85" s="84"/>
      <c r="AB85"/>
      <c r="AC85" s="83"/>
      <c r="AD85" s="83"/>
      <c r="AE85" s="82"/>
    </row>
    <row r="86" spans="1:31" ht="15" x14ac:dyDescent="0.25">
      <c r="A86"/>
      <c r="B86"/>
      <c r="C86"/>
      <c r="D86"/>
      <c r="E86"/>
      <c r="F86"/>
      <c r="G86"/>
      <c r="H86"/>
      <c r="I86"/>
      <c r="J86"/>
      <c r="K86"/>
      <c r="L86"/>
      <c r="M86"/>
      <c r="N86"/>
      <c r="O86"/>
      <c r="P86"/>
      <c r="Q86"/>
      <c r="R86"/>
      <c r="S86"/>
      <c r="T86" s="84"/>
      <c r="U86"/>
      <c r="V86" s="84"/>
      <c r="W86" s="84"/>
      <c r="X86"/>
      <c r="Y86"/>
      <c r="Z86"/>
      <c r="AA86" s="84"/>
      <c r="AB86"/>
      <c r="AC86" s="83"/>
      <c r="AD86" s="83"/>
      <c r="AE86" s="82"/>
    </row>
    <row r="87" spans="1:31" ht="15" x14ac:dyDescent="0.25">
      <c r="A87"/>
      <c r="B87"/>
      <c r="C87"/>
      <c r="D87"/>
      <c r="E87"/>
      <c r="F87"/>
      <c r="G87"/>
      <c r="H87"/>
      <c r="I87"/>
      <c r="J87"/>
      <c r="K87"/>
      <c r="L87"/>
      <c r="M87"/>
      <c r="N87"/>
      <c r="O87"/>
      <c r="P87"/>
      <c r="Q87"/>
      <c r="R87"/>
      <c r="S87"/>
      <c r="T87" s="84"/>
      <c r="U87"/>
      <c r="V87" s="84"/>
      <c r="W87" s="84"/>
      <c r="X87"/>
      <c r="Y87"/>
      <c r="Z87"/>
      <c r="AA87" s="84"/>
      <c r="AB87"/>
      <c r="AC87" s="83"/>
      <c r="AD87" s="83"/>
      <c r="AE87" s="82"/>
    </row>
    <row r="88" spans="1:31" ht="15" x14ac:dyDescent="0.25">
      <c r="A88"/>
      <c r="B88"/>
      <c r="C88"/>
      <c r="D88"/>
      <c r="E88"/>
      <c r="F88"/>
      <c r="G88"/>
      <c r="H88"/>
      <c r="I88"/>
      <c r="J88"/>
      <c r="K88"/>
      <c r="L88"/>
      <c r="M88"/>
      <c r="N88"/>
      <c r="O88"/>
      <c r="P88"/>
      <c r="Q88"/>
      <c r="R88"/>
      <c r="S88"/>
      <c r="T88" s="84"/>
      <c r="U88"/>
      <c r="V88" s="84"/>
      <c r="W88" s="84"/>
      <c r="X88"/>
      <c r="Y88"/>
      <c r="Z88"/>
      <c r="AA88" s="84"/>
      <c r="AB88"/>
      <c r="AC88" s="83"/>
      <c r="AD88" s="83"/>
      <c r="AE88" s="82"/>
    </row>
    <row r="89" spans="1:31" ht="15" x14ac:dyDescent="0.25">
      <c r="A89"/>
      <c r="B89"/>
      <c r="C89"/>
      <c r="D89"/>
      <c r="E89"/>
      <c r="F89"/>
      <c r="G89"/>
      <c r="H89"/>
      <c r="I89"/>
      <c r="J89"/>
      <c r="K89"/>
      <c r="L89"/>
      <c r="M89"/>
      <c r="N89"/>
      <c r="O89"/>
      <c r="P89"/>
      <c r="Q89"/>
      <c r="R89"/>
      <c r="S89"/>
      <c r="T89" s="84"/>
      <c r="U89"/>
      <c r="V89" s="84"/>
      <c r="W89" s="84"/>
      <c r="X89"/>
      <c r="Y89"/>
      <c r="Z89"/>
      <c r="AA89" s="84"/>
      <c r="AB89"/>
      <c r="AC89" s="83"/>
      <c r="AD89" s="83"/>
      <c r="AE89" s="82"/>
    </row>
    <row r="90" spans="1:31" ht="15" x14ac:dyDescent="0.25">
      <c r="A90"/>
      <c r="B90"/>
      <c r="C90"/>
      <c r="D90"/>
      <c r="E90"/>
      <c r="F90"/>
      <c r="G90"/>
      <c r="H90"/>
      <c r="I90"/>
      <c r="J90"/>
      <c r="K90"/>
      <c r="L90"/>
      <c r="M90"/>
      <c r="N90"/>
      <c r="O90"/>
      <c r="P90"/>
      <c r="Q90"/>
      <c r="R90"/>
      <c r="S90"/>
      <c r="T90" s="84"/>
      <c r="U90"/>
      <c r="V90" s="84"/>
      <c r="W90" s="84"/>
      <c r="X90"/>
      <c r="Y90"/>
      <c r="Z90"/>
      <c r="AA90" s="84"/>
      <c r="AB90"/>
      <c r="AC90" s="83"/>
      <c r="AD90" s="83"/>
      <c r="AE90" s="82"/>
    </row>
    <row r="91" spans="1:31" ht="15" x14ac:dyDescent="0.25">
      <c r="A91"/>
      <c r="B91"/>
      <c r="C91"/>
      <c r="D91"/>
      <c r="E91"/>
      <c r="F91"/>
      <c r="G91"/>
      <c r="H91"/>
      <c r="I91"/>
      <c r="J91"/>
      <c r="K91"/>
      <c r="L91"/>
      <c r="M91"/>
      <c r="N91"/>
      <c r="O91"/>
      <c r="P91"/>
      <c r="Q91"/>
      <c r="R91"/>
      <c r="S91"/>
      <c r="T91" s="84"/>
      <c r="U91"/>
      <c r="V91" s="84"/>
      <c r="W91" s="84"/>
      <c r="X91"/>
      <c r="Y91"/>
      <c r="Z91"/>
      <c r="AA91" s="84"/>
      <c r="AB91"/>
      <c r="AC91" s="83"/>
      <c r="AD91" s="83"/>
      <c r="AE91" s="82"/>
    </row>
    <row r="92" spans="1:31" ht="15" x14ac:dyDescent="0.25">
      <c r="A92"/>
      <c r="B92"/>
      <c r="C92"/>
      <c r="D92"/>
      <c r="E92"/>
      <c r="F92"/>
      <c r="G92"/>
      <c r="H92"/>
      <c r="I92"/>
      <c r="J92"/>
      <c r="K92"/>
      <c r="L92"/>
      <c r="M92"/>
      <c r="N92"/>
      <c r="O92"/>
      <c r="P92"/>
      <c r="Q92"/>
      <c r="R92"/>
      <c r="S92"/>
      <c r="T92" s="84"/>
      <c r="U92"/>
      <c r="V92" s="84"/>
      <c r="W92" s="84"/>
      <c r="X92"/>
      <c r="Y92"/>
      <c r="Z92"/>
      <c r="AA92" s="84"/>
      <c r="AB92"/>
      <c r="AC92" s="83"/>
      <c r="AD92" s="83"/>
      <c r="AE92" s="82"/>
    </row>
    <row r="93" spans="1:31" ht="15" x14ac:dyDescent="0.25">
      <c r="A93"/>
      <c r="B93"/>
      <c r="C93"/>
      <c r="D93"/>
      <c r="E93"/>
      <c r="F93"/>
      <c r="G93"/>
      <c r="H93"/>
      <c r="I93"/>
      <c r="J93"/>
      <c r="K93"/>
      <c r="L93"/>
      <c r="M93"/>
      <c r="N93"/>
      <c r="O93"/>
      <c r="P93"/>
      <c r="Q93"/>
      <c r="R93"/>
      <c r="S93"/>
      <c r="T93" s="84"/>
      <c r="U93"/>
      <c r="V93" s="84"/>
      <c r="W93" s="84"/>
      <c r="X93"/>
      <c r="Y93"/>
      <c r="Z93"/>
      <c r="AA93" s="84"/>
      <c r="AB93"/>
      <c r="AC93" s="83"/>
      <c r="AD93" s="83"/>
      <c r="AE93" s="82"/>
    </row>
    <row r="94" spans="1:31" ht="15" x14ac:dyDescent="0.25">
      <c r="A94"/>
      <c r="B94"/>
      <c r="C94"/>
      <c r="D94"/>
      <c r="E94"/>
      <c r="F94"/>
      <c r="G94"/>
      <c r="H94"/>
      <c r="I94"/>
      <c r="J94"/>
      <c r="K94"/>
      <c r="L94"/>
      <c r="M94"/>
      <c r="N94"/>
      <c r="O94"/>
      <c r="P94"/>
      <c r="Q94"/>
      <c r="R94"/>
      <c r="S94"/>
      <c r="T94" s="84"/>
      <c r="U94"/>
      <c r="V94" s="84"/>
      <c r="W94" s="84"/>
      <c r="X94"/>
      <c r="Y94"/>
      <c r="Z94"/>
      <c r="AA94" s="84"/>
      <c r="AB94"/>
      <c r="AC94" s="83"/>
      <c r="AD94" s="83"/>
      <c r="AE94" s="82"/>
    </row>
    <row r="95" spans="1:31" ht="15" x14ac:dyDescent="0.25">
      <c r="A95"/>
      <c r="B95"/>
      <c r="C95"/>
      <c r="D95"/>
      <c r="E95"/>
      <c r="F95"/>
      <c r="G95"/>
      <c r="H95"/>
      <c r="I95"/>
      <c r="J95"/>
      <c r="K95"/>
      <c r="L95"/>
      <c r="M95"/>
      <c r="N95"/>
      <c r="O95"/>
      <c r="P95"/>
      <c r="Q95"/>
      <c r="R95"/>
      <c r="S95"/>
      <c r="T95" s="84"/>
      <c r="U95"/>
      <c r="V95" s="84"/>
      <c r="W95" s="84"/>
      <c r="X95"/>
      <c r="Y95"/>
      <c r="Z95"/>
      <c r="AA95" s="84"/>
      <c r="AB95"/>
      <c r="AC95" s="83"/>
      <c r="AD95" s="83"/>
      <c r="AE95" s="82"/>
    </row>
    <row r="96" spans="1:31" ht="15" x14ac:dyDescent="0.25">
      <c r="A96"/>
      <c r="B96"/>
      <c r="C96"/>
      <c r="D96"/>
      <c r="E96"/>
      <c r="F96"/>
      <c r="G96"/>
      <c r="H96"/>
      <c r="I96"/>
      <c r="J96"/>
      <c r="K96"/>
      <c r="L96"/>
      <c r="M96"/>
      <c r="N96"/>
      <c r="O96"/>
      <c r="P96"/>
      <c r="Q96"/>
      <c r="R96"/>
      <c r="S96"/>
      <c r="T96" s="84"/>
      <c r="U96"/>
      <c r="V96" s="84"/>
      <c r="W96" s="84"/>
      <c r="X96"/>
      <c r="Y96"/>
      <c r="Z96"/>
      <c r="AA96" s="84"/>
      <c r="AB96"/>
      <c r="AC96" s="83"/>
      <c r="AD96" s="83"/>
      <c r="AE96" s="82"/>
    </row>
    <row r="97" spans="1:31" ht="15" x14ac:dyDescent="0.25">
      <c r="A97"/>
      <c r="B97"/>
      <c r="C97"/>
      <c r="D97"/>
      <c r="E97"/>
      <c r="F97"/>
      <c r="G97"/>
      <c r="H97"/>
      <c r="I97"/>
      <c r="J97"/>
      <c r="K97"/>
      <c r="L97"/>
      <c r="M97"/>
      <c r="N97"/>
      <c r="O97"/>
      <c r="P97"/>
      <c r="Q97"/>
      <c r="R97"/>
      <c r="S97"/>
      <c r="T97" s="84"/>
      <c r="U97"/>
      <c r="V97" s="84"/>
      <c r="W97" s="84"/>
      <c r="X97"/>
      <c r="Y97"/>
      <c r="Z97"/>
      <c r="AA97" s="84"/>
      <c r="AB97"/>
      <c r="AC97" s="83"/>
      <c r="AD97" s="83"/>
      <c r="AE97" s="82"/>
    </row>
    <row r="98" spans="1:31" ht="15" x14ac:dyDescent="0.25">
      <c r="A98"/>
      <c r="B98"/>
      <c r="C98"/>
      <c r="D98"/>
      <c r="E98"/>
      <c r="F98"/>
      <c r="G98"/>
      <c r="H98"/>
      <c r="I98"/>
      <c r="J98"/>
      <c r="K98"/>
      <c r="L98"/>
      <c r="M98"/>
      <c r="N98"/>
      <c r="O98"/>
      <c r="P98"/>
      <c r="Q98"/>
      <c r="R98"/>
      <c r="S98"/>
      <c r="T98" s="84"/>
      <c r="U98"/>
      <c r="V98" s="84"/>
      <c r="W98" s="84"/>
      <c r="X98"/>
      <c r="Y98"/>
      <c r="Z98"/>
      <c r="AA98" s="84"/>
      <c r="AB98"/>
      <c r="AC98" s="83"/>
      <c r="AD98" s="83"/>
      <c r="AE98" s="82"/>
    </row>
    <row r="99" spans="1:31" ht="15" x14ac:dyDescent="0.25">
      <c r="A99"/>
      <c r="B99"/>
      <c r="C99"/>
      <c r="D99"/>
      <c r="E99"/>
      <c r="F99"/>
      <c r="G99"/>
      <c r="H99"/>
      <c r="I99"/>
      <c r="J99"/>
      <c r="K99"/>
      <c r="L99"/>
      <c r="M99"/>
      <c r="N99"/>
      <c r="O99"/>
      <c r="P99"/>
      <c r="Q99"/>
      <c r="R99"/>
      <c r="S99"/>
      <c r="T99" s="84"/>
      <c r="U99"/>
      <c r="V99" s="84"/>
      <c r="W99" s="84"/>
      <c r="X99"/>
      <c r="Y99"/>
      <c r="Z99"/>
      <c r="AA99" s="84"/>
      <c r="AB99"/>
      <c r="AC99" s="83"/>
      <c r="AD99" s="83"/>
      <c r="AE99" s="82"/>
    </row>
    <row r="100" spans="1:31" ht="15" x14ac:dyDescent="0.25">
      <c r="A100"/>
      <c r="B100"/>
      <c r="C100"/>
      <c r="D100"/>
      <c r="E100"/>
      <c r="F100"/>
      <c r="G100"/>
      <c r="H100"/>
      <c r="I100"/>
      <c r="J100"/>
      <c r="K100"/>
      <c r="L100"/>
      <c r="M100"/>
      <c r="N100"/>
      <c r="O100"/>
      <c r="P100"/>
      <c r="Q100"/>
      <c r="R100"/>
      <c r="S100"/>
      <c r="T100" s="84"/>
      <c r="U100"/>
      <c r="V100" s="84"/>
      <c r="W100" s="84"/>
      <c r="X100"/>
      <c r="Y100"/>
      <c r="Z100"/>
      <c r="AA100" s="84"/>
      <c r="AB100"/>
      <c r="AC100" s="83"/>
      <c r="AD100" s="83"/>
      <c r="AE100" s="82"/>
    </row>
    <row r="101" spans="1:31" ht="15" x14ac:dyDescent="0.25">
      <c r="A101"/>
      <c r="B101"/>
      <c r="C101"/>
      <c r="D101"/>
      <c r="E101"/>
      <c r="F101"/>
      <c r="G101"/>
      <c r="H101"/>
      <c r="I101"/>
      <c r="J101"/>
      <c r="K101"/>
      <c r="L101"/>
      <c r="M101"/>
      <c r="N101"/>
      <c r="O101"/>
      <c r="P101"/>
      <c r="Q101"/>
      <c r="R101"/>
      <c r="S101"/>
      <c r="T101" s="84"/>
      <c r="U101"/>
      <c r="V101" s="84"/>
      <c r="W101" s="84"/>
      <c r="X101"/>
      <c r="Y101"/>
      <c r="Z101"/>
      <c r="AA101" s="84"/>
      <c r="AB101"/>
      <c r="AC101" s="83"/>
      <c r="AD101" s="83"/>
      <c r="AE101" s="82"/>
    </row>
    <row r="102" spans="1:31" ht="15" x14ac:dyDescent="0.25">
      <c r="A102"/>
      <c r="B102"/>
      <c r="C102"/>
      <c r="D102"/>
      <c r="E102"/>
      <c r="F102"/>
      <c r="G102"/>
      <c r="H102"/>
      <c r="I102"/>
      <c r="J102"/>
      <c r="K102"/>
      <c r="L102"/>
      <c r="M102"/>
      <c r="N102"/>
      <c r="O102"/>
      <c r="P102"/>
      <c r="Q102"/>
      <c r="R102"/>
      <c r="S102"/>
      <c r="T102" s="84"/>
      <c r="U102"/>
      <c r="V102" s="84"/>
      <c r="W102" s="84"/>
      <c r="X102"/>
      <c r="Y102"/>
      <c r="Z102"/>
      <c r="AA102" s="84"/>
      <c r="AB102"/>
      <c r="AC102" s="83"/>
      <c r="AD102" s="83"/>
      <c r="AE102" s="82"/>
    </row>
    <row r="103" spans="1:31" ht="15" x14ac:dyDescent="0.25">
      <c r="A103"/>
      <c r="B103"/>
      <c r="C103"/>
      <c r="D103"/>
      <c r="E103"/>
      <c r="F103"/>
      <c r="G103"/>
      <c r="H103"/>
      <c r="I103"/>
      <c r="J103"/>
      <c r="K103"/>
      <c r="L103"/>
      <c r="M103"/>
      <c r="N103"/>
      <c r="O103"/>
      <c r="P103"/>
      <c r="Q103"/>
      <c r="R103"/>
      <c r="S103"/>
      <c r="T103" s="84"/>
      <c r="U103"/>
      <c r="V103" s="84"/>
      <c r="W103" s="84"/>
      <c r="X103"/>
      <c r="Y103"/>
      <c r="Z103"/>
      <c r="AA103" s="84"/>
      <c r="AB103"/>
      <c r="AC103" s="83"/>
      <c r="AD103" s="83"/>
      <c r="AE103" s="82"/>
    </row>
    <row r="104" spans="1:31" ht="15" x14ac:dyDescent="0.25">
      <c r="A104"/>
      <c r="B104"/>
      <c r="C104"/>
      <c r="D104"/>
      <c r="E104"/>
      <c r="F104"/>
      <c r="G104"/>
      <c r="H104"/>
      <c r="I104"/>
      <c r="J104"/>
      <c r="K104"/>
      <c r="L104"/>
      <c r="M104"/>
      <c r="N104"/>
      <c r="O104"/>
      <c r="P104"/>
      <c r="Q104"/>
      <c r="R104"/>
      <c r="S104"/>
      <c r="T104" s="84"/>
      <c r="U104"/>
      <c r="V104" s="84"/>
      <c r="W104" s="84"/>
      <c r="X104"/>
      <c r="Y104"/>
      <c r="Z104"/>
      <c r="AA104" s="84"/>
      <c r="AB104"/>
      <c r="AC104" s="83"/>
      <c r="AD104" s="83"/>
      <c r="AE104" s="82"/>
    </row>
    <row r="105" spans="1:31" ht="15" x14ac:dyDescent="0.25">
      <c r="A105"/>
      <c r="B105"/>
      <c r="C105"/>
      <c r="D105"/>
      <c r="E105"/>
      <c r="F105"/>
      <c r="G105"/>
      <c r="H105"/>
      <c r="I105"/>
      <c r="J105"/>
      <c r="K105"/>
      <c r="L105"/>
      <c r="M105"/>
      <c r="N105"/>
      <c r="O105"/>
      <c r="P105"/>
      <c r="Q105"/>
      <c r="R105"/>
      <c r="S105"/>
      <c r="T105" s="84"/>
      <c r="U105"/>
      <c r="V105" s="84"/>
      <c r="W105" s="84"/>
      <c r="X105"/>
      <c r="Y105"/>
      <c r="Z105"/>
      <c r="AA105" s="84"/>
      <c r="AB105"/>
      <c r="AC105" s="83"/>
      <c r="AD105" s="83"/>
      <c r="AE105" s="82"/>
    </row>
    <row r="106" spans="1:31" ht="15" x14ac:dyDescent="0.25">
      <c r="A106"/>
      <c r="B106"/>
      <c r="C106"/>
      <c r="D106"/>
      <c r="E106"/>
      <c r="F106"/>
      <c r="G106"/>
      <c r="H106"/>
      <c r="I106"/>
      <c r="J106"/>
      <c r="K106"/>
      <c r="L106"/>
      <c r="M106"/>
      <c r="N106"/>
      <c r="O106"/>
      <c r="P106"/>
      <c r="Q106"/>
      <c r="R106"/>
      <c r="S106"/>
      <c r="T106" s="84"/>
      <c r="U106"/>
      <c r="V106" s="84"/>
      <c r="W106" s="84"/>
      <c r="X106"/>
      <c r="Y106"/>
      <c r="Z106"/>
      <c r="AA106" s="84"/>
      <c r="AB106"/>
      <c r="AC106" s="83"/>
      <c r="AD106" s="83"/>
      <c r="AE106" s="82"/>
    </row>
    <row r="107" spans="1:31" ht="15" x14ac:dyDescent="0.25">
      <c r="A107"/>
      <c r="B107"/>
      <c r="C107"/>
      <c r="D107"/>
      <c r="E107"/>
      <c r="F107"/>
      <c r="G107"/>
      <c r="H107"/>
      <c r="I107"/>
      <c r="J107"/>
      <c r="K107"/>
      <c r="L107"/>
      <c r="M107"/>
      <c r="N107"/>
      <c r="O107"/>
      <c r="P107"/>
      <c r="Q107"/>
      <c r="R107"/>
      <c r="S107"/>
      <c r="T107" s="84"/>
      <c r="U107"/>
      <c r="V107" s="84"/>
      <c r="W107" s="84"/>
      <c r="X107"/>
      <c r="Y107"/>
      <c r="Z107"/>
      <c r="AA107" s="84"/>
      <c r="AB107"/>
      <c r="AC107" s="83"/>
      <c r="AD107" s="83"/>
      <c r="AE107" s="82"/>
    </row>
    <row r="108" spans="1:31" ht="15" x14ac:dyDescent="0.25">
      <c r="A108"/>
      <c r="B108"/>
      <c r="C108"/>
      <c r="D108"/>
      <c r="E108"/>
      <c r="F108"/>
      <c r="G108"/>
      <c r="H108"/>
      <c r="I108"/>
      <c r="J108"/>
      <c r="K108"/>
      <c r="L108"/>
      <c r="M108"/>
      <c r="N108"/>
      <c r="O108"/>
      <c r="P108"/>
      <c r="Q108"/>
      <c r="R108"/>
      <c r="S108"/>
      <c r="T108" s="84"/>
      <c r="U108"/>
      <c r="V108" s="84"/>
      <c r="W108" s="84"/>
      <c r="X108"/>
      <c r="Y108"/>
      <c r="Z108"/>
      <c r="AA108" s="84"/>
      <c r="AB108"/>
      <c r="AC108" s="83"/>
      <c r="AD108" s="83"/>
      <c r="AE108" s="82"/>
    </row>
    <row r="109" spans="1:31" ht="15" x14ac:dyDescent="0.25">
      <c r="A109"/>
      <c r="B109"/>
      <c r="C109"/>
      <c r="D109"/>
      <c r="E109"/>
      <c r="F109"/>
      <c r="G109"/>
      <c r="H109"/>
      <c r="I109"/>
      <c r="J109"/>
      <c r="K109"/>
      <c r="L109"/>
      <c r="M109"/>
      <c r="N109"/>
      <c r="O109"/>
      <c r="P109"/>
      <c r="Q109"/>
      <c r="R109"/>
      <c r="S109"/>
      <c r="T109" s="84"/>
      <c r="U109"/>
      <c r="V109" s="84"/>
      <c r="W109" s="84"/>
      <c r="X109"/>
      <c r="Y109"/>
      <c r="Z109"/>
      <c r="AA109" s="84"/>
      <c r="AB109"/>
      <c r="AC109" s="83"/>
      <c r="AD109" s="83"/>
      <c r="AE109" s="82"/>
    </row>
    <row r="110" spans="1:31" ht="15" x14ac:dyDescent="0.25">
      <c r="A110"/>
      <c r="B110"/>
      <c r="C110"/>
      <c r="D110"/>
      <c r="E110"/>
      <c r="F110"/>
      <c r="G110"/>
      <c r="H110"/>
      <c r="I110"/>
      <c r="J110"/>
      <c r="K110"/>
      <c r="L110"/>
      <c r="M110"/>
      <c r="N110"/>
      <c r="O110"/>
      <c r="P110"/>
      <c r="Q110"/>
      <c r="R110"/>
      <c r="S110"/>
      <c r="T110" s="84"/>
      <c r="U110"/>
      <c r="V110" s="84"/>
      <c r="W110" s="84"/>
      <c r="X110"/>
      <c r="Y110"/>
      <c r="Z110"/>
      <c r="AA110" s="84"/>
      <c r="AB110"/>
      <c r="AC110" s="83"/>
      <c r="AD110" s="83"/>
      <c r="AE110" s="82"/>
    </row>
    <row r="111" spans="1:31" ht="15" x14ac:dyDescent="0.25">
      <c r="A111"/>
      <c r="B111"/>
      <c r="C111"/>
      <c r="D111"/>
      <c r="E111"/>
      <c r="F111"/>
      <c r="G111"/>
      <c r="H111"/>
      <c r="I111"/>
      <c r="J111"/>
      <c r="K111"/>
      <c r="L111"/>
      <c r="M111"/>
      <c r="N111"/>
      <c r="O111"/>
      <c r="P111"/>
      <c r="Q111"/>
      <c r="R111"/>
      <c r="S111"/>
      <c r="T111" s="84"/>
      <c r="U111"/>
      <c r="V111" s="84"/>
      <c r="W111" s="84"/>
      <c r="X111"/>
      <c r="Y111"/>
      <c r="Z111"/>
      <c r="AA111" s="84"/>
      <c r="AB111"/>
      <c r="AC111" s="83"/>
      <c r="AD111" s="83"/>
      <c r="AE111" s="82"/>
    </row>
    <row r="112" spans="1:31" ht="15" x14ac:dyDescent="0.25">
      <c r="A112"/>
      <c r="B112"/>
      <c r="C112"/>
      <c r="D112"/>
      <c r="E112"/>
      <c r="F112"/>
      <c r="G112"/>
      <c r="H112"/>
      <c r="I112"/>
      <c r="J112"/>
      <c r="K112"/>
      <c r="L112"/>
      <c r="M112"/>
      <c r="N112"/>
      <c r="O112"/>
      <c r="P112"/>
      <c r="Q112"/>
      <c r="R112"/>
      <c r="S112"/>
      <c r="T112" s="84"/>
      <c r="U112"/>
      <c r="V112" s="84"/>
      <c r="W112" s="84"/>
      <c r="X112"/>
      <c r="Y112"/>
      <c r="Z112"/>
      <c r="AA112" s="84"/>
      <c r="AB112"/>
      <c r="AC112" s="83"/>
      <c r="AD112" s="83"/>
      <c r="AE112" s="82"/>
    </row>
    <row r="113" spans="1:31" ht="15" x14ac:dyDescent="0.25">
      <c r="A113"/>
      <c r="B113"/>
      <c r="C113"/>
      <c r="D113"/>
      <c r="E113"/>
      <c r="F113"/>
      <c r="G113"/>
      <c r="H113"/>
      <c r="I113"/>
      <c r="J113"/>
      <c r="K113"/>
      <c r="L113"/>
      <c r="M113"/>
      <c r="N113"/>
      <c r="O113"/>
      <c r="P113"/>
      <c r="Q113"/>
      <c r="R113"/>
      <c r="S113"/>
      <c r="T113" s="84"/>
      <c r="U113"/>
      <c r="V113" s="84"/>
      <c r="W113" s="84"/>
      <c r="X113"/>
      <c r="Y113"/>
      <c r="Z113"/>
      <c r="AA113" s="84"/>
      <c r="AB113"/>
      <c r="AC113" s="83"/>
      <c r="AD113" s="83"/>
      <c r="AE113" s="82"/>
    </row>
    <row r="114" spans="1:31" ht="15" x14ac:dyDescent="0.25">
      <c r="A114"/>
      <c r="B114"/>
      <c r="C114"/>
      <c r="D114"/>
      <c r="E114"/>
      <c r="F114"/>
      <c r="G114"/>
      <c r="H114"/>
      <c r="I114"/>
      <c r="J114"/>
      <c r="K114"/>
      <c r="L114"/>
      <c r="M114"/>
      <c r="N114"/>
      <c r="O114"/>
      <c r="P114"/>
      <c r="Q114"/>
      <c r="R114"/>
      <c r="S114"/>
      <c r="T114" s="84"/>
      <c r="U114"/>
      <c r="V114" s="84"/>
      <c r="W114" s="84"/>
      <c r="X114"/>
      <c r="Y114"/>
      <c r="Z114"/>
      <c r="AA114" s="84"/>
      <c r="AB114"/>
      <c r="AC114" s="83"/>
      <c r="AD114" s="83"/>
      <c r="AE114" s="82"/>
    </row>
    <row r="115" spans="1:31" ht="15" x14ac:dyDescent="0.25">
      <c r="A115"/>
      <c r="B115"/>
      <c r="C115"/>
      <c r="D115"/>
      <c r="E115"/>
      <c r="F115"/>
      <c r="G115"/>
      <c r="H115"/>
      <c r="I115"/>
      <c r="J115"/>
      <c r="K115"/>
      <c r="L115"/>
      <c r="M115"/>
      <c r="N115"/>
      <c r="O115"/>
      <c r="P115"/>
      <c r="Q115"/>
      <c r="R115"/>
      <c r="S115"/>
      <c r="T115" s="84"/>
      <c r="U115"/>
      <c r="V115" s="84"/>
      <c r="W115" s="84"/>
      <c r="X115"/>
      <c r="Y115"/>
      <c r="Z115"/>
      <c r="AA115" s="84"/>
      <c r="AB115"/>
      <c r="AC115" s="83"/>
      <c r="AD115" s="83"/>
      <c r="AE115" s="82"/>
    </row>
    <row r="116" spans="1:31" ht="15" x14ac:dyDescent="0.25">
      <c r="A116"/>
      <c r="B116"/>
      <c r="C116"/>
      <c r="D116"/>
      <c r="E116"/>
      <c r="F116"/>
      <c r="G116"/>
      <c r="H116"/>
      <c r="I116"/>
      <c r="J116"/>
      <c r="K116"/>
      <c r="L116"/>
      <c r="M116"/>
      <c r="N116"/>
      <c r="O116"/>
      <c r="P116"/>
      <c r="Q116"/>
      <c r="R116"/>
      <c r="S116"/>
      <c r="T116" s="84"/>
      <c r="U116"/>
      <c r="V116" s="84"/>
      <c r="W116" s="84"/>
      <c r="X116"/>
      <c r="Y116"/>
      <c r="Z116"/>
      <c r="AA116" s="84"/>
      <c r="AB116"/>
      <c r="AC116" s="83"/>
      <c r="AD116" s="83"/>
      <c r="AE116" s="82"/>
    </row>
    <row r="117" spans="1:31" ht="15" x14ac:dyDescent="0.25">
      <c r="A117"/>
      <c r="B117"/>
      <c r="C117"/>
      <c r="D117"/>
      <c r="E117"/>
      <c r="F117"/>
      <c r="G117"/>
      <c r="H117"/>
      <c r="I117"/>
      <c r="J117"/>
      <c r="K117"/>
      <c r="L117"/>
      <c r="M117"/>
      <c r="N117"/>
      <c r="O117"/>
      <c r="P117"/>
      <c r="Q117"/>
      <c r="R117"/>
      <c r="S117"/>
      <c r="T117" s="84"/>
      <c r="U117"/>
      <c r="V117" s="84"/>
      <c r="W117" s="84"/>
      <c r="X117"/>
      <c r="Y117"/>
      <c r="Z117"/>
      <c r="AA117" s="84"/>
      <c r="AB117"/>
      <c r="AC117" s="83"/>
      <c r="AD117" s="83"/>
      <c r="AE117" s="82"/>
    </row>
    <row r="118" spans="1:31" ht="15" x14ac:dyDescent="0.25">
      <c r="A118"/>
      <c r="B118"/>
      <c r="C118"/>
      <c r="D118"/>
      <c r="E118"/>
      <c r="F118"/>
      <c r="G118"/>
      <c r="H118"/>
      <c r="I118"/>
      <c r="J118"/>
      <c r="K118"/>
      <c r="L118"/>
      <c r="M118"/>
      <c r="N118"/>
      <c r="O118"/>
      <c r="P118"/>
      <c r="Q118"/>
      <c r="R118"/>
      <c r="S118"/>
      <c r="T118" s="84"/>
      <c r="U118"/>
      <c r="V118" s="84"/>
      <c r="W118" s="84"/>
      <c r="X118"/>
      <c r="Y118"/>
      <c r="Z118"/>
      <c r="AA118" s="84"/>
      <c r="AB118"/>
      <c r="AC118" s="83"/>
      <c r="AD118" s="83"/>
      <c r="AE118" s="82"/>
    </row>
    <row r="119" spans="1:31" ht="15" x14ac:dyDescent="0.25">
      <c r="A119"/>
      <c r="B119"/>
      <c r="C119"/>
      <c r="D119"/>
      <c r="E119"/>
      <c r="F119"/>
      <c r="G119"/>
      <c r="H119"/>
      <c r="I119"/>
      <c r="J119"/>
      <c r="K119"/>
      <c r="L119"/>
      <c r="M119"/>
      <c r="N119"/>
      <c r="O119"/>
      <c r="P119"/>
      <c r="Q119"/>
      <c r="R119"/>
      <c r="S119"/>
      <c r="T119" s="84"/>
      <c r="U119"/>
      <c r="V119" s="84"/>
      <c r="W119" s="84"/>
      <c r="X119"/>
      <c r="Y119"/>
      <c r="Z119"/>
      <c r="AA119" s="84"/>
      <c r="AB119"/>
      <c r="AC119" s="83"/>
      <c r="AD119" s="83"/>
      <c r="AE119" s="82"/>
    </row>
    <row r="120" spans="1:31" ht="15" x14ac:dyDescent="0.25">
      <c r="A120"/>
      <c r="B120"/>
      <c r="C120"/>
      <c r="D120"/>
      <c r="E120"/>
      <c r="F120"/>
      <c r="G120"/>
      <c r="H120"/>
      <c r="I120"/>
      <c r="J120"/>
      <c r="K120"/>
      <c r="L120"/>
      <c r="M120"/>
      <c r="N120"/>
      <c r="O120"/>
      <c r="P120"/>
      <c r="Q120"/>
      <c r="R120"/>
      <c r="S120"/>
      <c r="T120" s="84"/>
      <c r="U120"/>
      <c r="V120" s="84"/>
      <c r="W120" s="84"/>
      <c r="X120"/>
      <c r="Y120"/>
      <c r="Z120"/>
      <c r="AA120" s="84"/>
      <c r="AB120"/>
      <c r="AC120" s="83"/>
      <c r="AD120" s="83"/>
      <c r="AE120" s="82"/>
    </row>
    <row r="121" spans="1:31" ht="15" x14ac:dyDescent="0.25">
      <c r="A121"/>
      <c r="B121"/>
      <c r="C121"/>
      <c r="D121"/>
      <c r="E121"/>
      <c r="F121"/>
      <c r="G121"/>
      <c r="H121"/>
      <c r="I121"/>
      <c r="J121"/>
      <c r="K121"/>
      <c r="L121"/>
      <c r="M121"/>
      <c r="N121"/>
      <c r="O121"/>
      <c r="P121"/>
      <c r="Q121"/>
      <c r="R121"/>
      <c r="S121"/>
      <c r="T121" s="84"/>
      <c r="U121"/>
      <c r="V121" s="84"/>
      <c r="W121" s="84"/>
      <c r="X121"/>
      <c r="Y121"/>
      <c r="Z121"/>
      <c r="AA121" s="84"/>
      <c r="AB121"/>
      <c r="AC121" s="83"/>
      <c r="AD121" s="83"/>
      <c r="AE121" s="82"/>
    </row>
    <row r="122" spans="1:31" ht="15" x14ac:dyDescent="0.25">
      <c r="A122"/>
      <c r="B122"/>
      <c r="C122"/>
      <c r="D122"/>
      <c r="E122"/>
      <c r="F122"/>
      <c r="G122"/>
      <c r="H122"/>
      <c r="I122"/>
      <c r="J122"/>
      <c r="K122"/>
      <c r="L122"/>
      <c r="M122"/>
      <c r="N122"/>
      <c r="O122"/>
      <c r="P122"/>
      <c r="Q122"/>
      <c r="R122"/>
      <c r="S122"/>
      <c r="T122" s="84"/>
      <c r="U122"/>
      <c r="V122" s="84"/>
      <c r="W122" s="84"/>
      <c r="X122"/>
      <c r="Y122"/>
      <c r="Z122"/>
      <c r="AA122" s="84"/>
      <c r="AB122"/>
      <c r="AC122" s="83"/>
      <c r="AD122" s="83"/>
      <c r="AE122" s="82"/>
    </row>
    <row r="123" spans="1:31" ht="15" x14ac:dyDescent="0.25">
      <c r="A123"/>
      <c r="B123"/>
      <c r="C123"/>
      <c r="D123"/>
      <c r="E123"/>
      <c r="F123"/>
      <c r="G123"/>
      <c r="H123"/>
      <c r="I123"/>
      <c r="J123"/>
      <c r="K123"/>
      <c r="L123"/>
      <c r="M123"/>
      <c r="N123"/>
      <c r="O123"/>
      <c r="P123"/>
      <c r="Q123"/>
      <c r="R123"/>
      <c r="S123"/>
      <c r="T123" s="84"/>
      <c r="U123"/>
      <c r="V123" s="84"/>
      <c r="W123" s="84"/>
      <c r="X123"/>
      <c r="Y123"/>
      <c r="Z123"/>
      <c r="AA123" s="84"/>
      <c r="AB123"/>
      <c r="AC123" s="83"/>
      <c r="AD123" s="83"/>
      <c r="AE123" s="82"/>
    </row>
    <row r="124" spans="1:31" ht="15" x14ac:dyDescent="0.25">
      <c r="A124"/>
      <c r="B124"/>
      <c r="C124"/>
      <c r="D124"/>
      <c r="E124"/>
      <c r="F124"/>
      <c r="G124"/>
      <c r="H124"/>
      <c r="I124"/>
      <c r="J124"/>
      <c r="K124"/>
      <c r="L124"/>
      <c r="M124"/>
      <c r="N124"/>
      <c r="O124"/>
      <c r="P124"/>
      <c r="Q124"/>
      <c r="R124"/>
      <c r="S124"/>
      <c r="T124" s="84"/>
      <c r="U124"/>
      <c r="V124" s="84"/>
      <c r="W124" s="84"/>
      <c r="X124"/>
      <c r="Y124"/>
      <c r="Z124"/>
      <c r="AA124" s="84"/>
      <c r="AB124"/>
      <c r="AC124" s="83"/>
      <c r="AD124" s="83"/>
      <c r="AE124" s="82"/>
    </row>
  </sheetData>
  <sortState ref="A2:AE31">
    <sortCondition sortBy="fontColor" ref="AE2:AE31" dxfId="94"/>
  </sortState>
  <phoneticPr fontId="18" type="noConversion"/>
  <conditionalFormatting sqref="R1">
    <cfRule type="cellIs" dxfId="93" priority="861" operator="lessThan">
      <formula>14</formula>
    </cfRule>
    <cfRule type="cellIs" dxfId="92" priority="862" operator="greaterThan">
      <formula>14</formula>
    </cfRule>
  </conditionalFormatting>
  <conditionalFormatting sqref="B125:B1048576 B1">
    <cfRule type="duplicateValues" dxfId="91" priority="2065"/>
  </conditionalFormatting>
  <conditionalFormatting sqref="AE125:AE1048576 AE1">
    <cfRule type="duplicateValues" dxfId="90" priority="144"/>
  </conditionalFormatting>
  <conditionalFormatting sqref="AE125:AE1048576">
    <cfRule type="duplicateValues" dxfId="89" priority="2307"/>
  </conditionalFormatting>
  <conditionalFormatting sqref="AE125:AE1048576">
    <cfRule type="duplicateValues" dxfId="88" priority="114"/>
  </conditionalFormatting>
  <conditionalFormatting sqref="AE125:AE1048576 AE1">
    <cfRule type="duplicateValues" dxfId="87" priority="101"/>
    <cfRule type="duplicateValues" dxfId="86" priority="102"/>
  </conditionalFormatting>
  <conditionalFormatting sqref="B125:B1048576">
    <cfRule type="duplicateValues" dxfId="85" priority="99"/>
  </conditionalFormatting>
  <conditionalFormatting sqref="AE125:AE1048576">
    <cfRule type="duplicateValues" dxfId="84" priority="81"/>
  </conditionalFormatting>
  <conditionalFormatting sqref="AE125:AE1048576 AE1">
    <cfRule type="duplicateValues" dxfId="83" priority="69"/>
  </conditionalFormatting>
  <conditionalFormatting sqref="AE125:AE1048576">
    <cfRule type="duplicateValues" dxfId="82" priority="51"/>
  </conditionalFormatting>
  <conditionalFormatting sqref="AE1 AE125:AE1048576">
    <cfRule type="duplicateValues" dxfId="81" priority="39"/>
  </conditionalFormatting>
  <conditionalFormatting sqref="AE1 AE125:AE1048576">
    <cfRule type="duplicateValues" dxfId="80" priority="15"/>
  </conditionalFormatting>
  <conditionalFormatting sqref="B29:B124">
    <cfRule type="duplicateValues" dxfId="79" priority="13"/>
  </conditionalFormatting>
  <conditionalFormatting sqref="AE23:AE124">
    <cfRule type="duplicateValues" dxfId="78" priority="8"/>
  </conditionalFormatting>
  <conditionalFormatting sqref="AE23:AE124">
    <cfRule type="duplicateValues" dxfId="77" priority="9"/>
  </conditionalFormatting>
  <conditionalFormatting sqref="AE23:AE124">
    <cfRule type="duplicateValues" dxfId="76" priority="10"/>
  </conditionalFormatting>
  <conditionalFormatting sqref="AE23:AE124">
    <cfRule type="duplicateValues" dxfId="75" priority="11"/>
    <cfRule type="duplicateValues" dxfId="74" priority="12"/>
  </conditionalFormatting>
  <conditionalFormatting sqref="B23:B28">
    <cfRule type="duplicateValues" dxfId="73" priority="7"/>
  </conditionalFormatting>
  <conditionalFormatting sqref="B2:B22">
    <cfRule type="duplicateValues" dxfId="72" priority="6"/>
  </conditionalFormatting>
  <conditionalFormatting sqref="AE2:AE22">
    <cfRule type="duplicateValues" dxfId="71" priority="1"/>
  </conditionalFormatting>
  <conditionalFormatting sqref="AE2:AE22">
    <cfRule type="duplicateValues" dxfId="70" priority="2"/>
  </conditionalFormatting>
  <conditionalFormatting sqref="AE2:AE22">
    <cfRule type="duplicateValues" dxfId="69" priority="3"/>
  </conditionalFormatting>
  <conditionalFormatting sqref="AE2:AE22">
    <cfRule type="duplicateValues" dxfId="68" priority="4"/>
    <cfRule type="duplicateValues" dxfId="67" priority="5"/>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71"/>
  <sheetViews>
    <sheetView tabSelected="1" zoomScale="98" zoomScaleNormal="98" workbookViewId="0">
      <pane xSplit="4" ySplit="7" topLeftCell="E8" activePane="bottomRight" state="frozen"/>
      <selection pane="topRight" activeCell="E1" sqref="E1"/>
      <selection pane="bottomLeft" activeCell="A8" sqref="A8"/>
      <selection pane="bottomRight" sqref="A1:XFD1048576"/>
    </sheetView>
  </sheetViews>
  <sheetFormatPr defaultRowHeight="15" x14ac:dyDescent="0.25"/>
  <cols>
    <col min="2" max="2" width="4.85546875" customWidth="1"/>
    <col min="3" max="3" width="14.85546875" customWidth="1"/>
    <col min="4" max="4" width="16.5703125" style="14" customWidth="1"/>
    <col min="5" max="5" width="22" style="14" customWidth="1"/>
    <col min="6" max="7" width="9.140625" hidden="1" customWidth="1"/>
    <col min="8" max="8" width="13.42578125" hidden="1" customWidth="1"/>
    <col min="9" max="9" width="13.85546875" hidden="1" customWidth="1"/>
    <col min="10" max="10" width="12.42578125" hidden="1" customWidth="1"/>
    <col min="11" max="11" width="12" hidden="1" customWidth="1"/>
    <col min="12" max="12" width="10.5703125" hidden="1" customWidth="1"/>
    <col min="13" max="14" width="9.140625" hidden="1" customWidth="1"/>
    <col min="15" max="15" width="12.85546875" hidden="1" customWidth="1"/>
    <col min="16" max="16" width="9.140625" style="26" hidden="1" customWidth="1"/>
    <col min="17" max="17" width="2" hidden="1" customWidth="1"/>
    <col min="18" max="18" width="23" customWidth="1"/>
  </cols>
  <sheetData>
    <row r="1" spans="2:18" x14ac:dyDescent="0.25">
      <c r="B1" s="15" t="s">
        <v>440</v>
      </c>
      <c r="C1" s="15"/>
      <c r="D1" s="19"/>
      <c r="E1" s="19"/>
    </row>
    <row r="2" spans="2:18" x14ac:dyDescent="0.25">
      <c r="B2" s="1"/>
      <c r="C2" s="1"/>
      <c r="D2" s="11"/>
      <c r="E2" s="11"/>
    </row>
    <row r="3" spans="2:18" x14ac:dyDescent="0.25">
      <c r="B3" s="1"/>
      <c r="C3" s="1"/>
      <c r="D3" s="11"/>
      <c r="E3" s="11"/>
    </row>
    <row r="4" spans="2:18" x14ac:dyDescent="0.25">
      <c r="B4" s="20" t="s">
        <v>297</v>
      </c>
      <c r="C4" s="51" t="s">
        <v>550</v>
      </c>
      <c r="D4" s="12"/>
      <c r="E4" s="12"/>
    </row>
    <row r="5" spans="2:18" ht="60" customHeight="1" x14ac:dyDescent="0.25">
      <c r="B5" s="115" t="s">
        <v>1</v>
      </c>
      <c r="C5" s="115" t="s">
        <v>2</v>
      </c>
      <c r="D5" s="117" t="s">
        <v>3</v>
      </c>
      <c r="E5" s="119" t="s">
        <v>461</v>
      </c>
      <c r="F5" s="110" t="s">
        <v>271</v>
      </c>
      <c r="G5" s="110" t="s">
        <v>272</v>
      </c>
      <c r="H5" s="111" t="s">
        <v>299</v>
      </c>
      <c r="I5" s="114" t="s">
        <v>298</v>
      </c>
      <c r="J5" s="114" t="s">
        <v>296</v>
      </c>
      <c r="K5" s="110" t="s">
        <v>295</v>
      </c>
      <c r="L5" s="111" t="s">
        <v>302</v>
      </c>
      <c r="M5" s="111" t="s">
        <v>303</v>
      </c>
      <c r="N5" s="110" t="s">
        <v>301</v>
      </c>
      <c r="R5" s="104" t="s">
        <v>439</v>
      </c>
    </row>
    <row r="6" spans="2:18" ht="15" customHeight="1" x14ac:dyDescent="0.25">
      <c r="B6" s="116"/>
      <c r="C6" s="116"/>
      <c r="D6" s="118"/>
      <c r="E6" s="120"/>
      <c r="F6" s="110"/>
      <c r="G6" s="110"/>
      <c r="H6" s="112"/>
      <c r="I6" s="114"/>
      <c r="J6" s="114"/>
      <c r="K6" s="110"/>
      <c r="L6" s="112"/>
      <c r="M6" s="112"/>
      <c r="N6" s="110"/>
      <c r="R6" s="105"/>
    </row>
    <row r="7" spans="2:18" ht="15.75" customHeight="1" x14ac:dyDescent="0.25">
      <c r="B7" s="116"/>
      <c r="C7" s="116"/>
      <c r="D7" s="118"/>
      <c r="E7" s="120"/>
      <c r="F7" s="110"/>
      <c r="G7" s="110"/>
      <c r="H7" s="113"/>
      <c r="I7" s="114"/>
      <c r="J7" s="114"/>
      <c r="K7" s="110"/>
      <c r="L7" s="113"/>
      <c r="M7" s="113"/>
      <c r="N7" s="110"/>
      <c r="R7" s="106"/>
    </row>
    <row r="8" spans="2:18" x14ac:dyDescent="0.25">
      <c r="B8" s="53">
        <v>1</v>
      </c>
      <c r="C8" s="54" t="s">
        <v>4</v>
      </c>
      <c r="D8" s="43" t="s">
        <v>393</v>
      </c>
      <c r="E8" s="67">
        <f>COUNTIFS('TOTAL KONTAK ERAT'!$F:$F,"Kembangarum")</f>
        <v>0</v>
      </c>
      <c r="F8" s="21" t="e">
        <f>SUM(#REF!)</f>
        <v>#REF!</v>
      </c>
      <c r="G8" s="21" t="e">
        <f>SUM(#REF!)</f>
        <v>#REF!</v>
      </c>
      <c r="H8" s="21" t="e">
        <f>SUM(#REF!)</f>
        <v>#REF!</v>
      </c>
      <c r="I8" s="21" t="e">
        <f>SUM(#REF!)</f>
        <v>#REF!</v>
      </c>
      <c r="J8" s="21" t="e">
        <f>SUM(#REF!)</f>
        <v>#REF!</v>
      </c>
      <c r="K8" s="21" t="e">
        <f>SUM(#REF!)</f>
        <v>#REF!</v>
      </c>
      <c r="L8" s="21" t="e">
        <f>SUM(#REF!)</f>
        <v>#REF!</v>
      </c>
      <c r="M8" s="21">
        <f>SUM(E8:E26)</f>
        <v>0</v>
      </c>
      <c r="N8" s="21" t="e">
        <f>SUM(#REF!)</f>
        <v>#REF!</v>
      </c>
      <c r="Q8" s="42">
        <f t="shared" ref="Q8:Q71" si="0">SUM(E8:E8)</f>
        <v>0</v>
      </c>
      <c r="R8" s="125">
        <f>SUM(Q8:Q26)</f>
        <v>0</v>
      </c>
    </row>
    <row r="9" spans="2:18" x14ac:dyDescent="0.25">
      <c r="B9" s="53"/>
      <c r="C9" s="54" t="s">
        <v>4</v>
      </c>
      <c r="D9" s="43" t="s">
        <v>4</v>
      </c>
      <c r="E9" s="67">
        <f>COUNTIFS('TOTAL KONTAK ERAT'!$F:$F,"mranggen")</f>
        <v>0</v>
      </c>
      <c r="F9" s="22"/>
      <c r="G9" s="23"/>
      <c r="H9" s="23"/>
      <c r="I9" s="23"/>
      <c r="J9" s="23"/>
      <c r="K9" s="23"/>
      <c r="L9" s="24"/>
      <c r="M9" s="24"/>
      <c r="N9" s="24"/>
      <c r="Q9" s="42">
        <f t="shared" si="0"/>
        <v>0</v>
      </c>
      <c r="R9" s="8"/>
    </row>
    <row r="10" spans="2:18" x14ac:dyDescent="0.25">
      <c r="B10" s="53"/>
      <c r="C10" s="54" t="s">
        <v>4</v>
      </c>
      <c r="D10" s="43" t="s">
        <v>5</v>
      </c>
      <c r="E10" s="67">
        <f>COUNTIFS('TOTAL KONTAK ERAT'!$F:$F,"kangkung")</f>
        <v>0</v>
      </c>
      <c r="F10" s="22"/>
      <c r="G10" s="23"/>
      <c r="H10" s="23"/>
      <c r="I10" s="23"/>
      <c r="J10" s="23"/>
      <c r="K10" s="23"/>
      <c r="L10" s="24"/>
      <c r="M10" s="24"/>
      <c r="N10" s="24"/>
      <c r="Q10" s="42">
        <f t="shared" si="0"/>
        <v>0</v>
      </c>
      <c r="R10" s="8"/>
    </row>
    <row r="11" spans="2:18" x14ac:dyDescent="0.25">
      <c r="B11" s="53"/>
      <c r="C11" s="54" t="s">
        <v>4</v>
      </c>
      <c r="D11" s="43" t="s">
        <v>6</v>
      </c>
      <c r="E11" s="67">
        <f>COUNTIFS('TOTAL KONTAK ERAT'!$F:$F,"Kalitengah")</f>
        <v>0</v>
      </c>
      <c r="F11" s="22"/>
      <c r="G11" s="23"/>
      <c r="H11" s="23"/>
      <c r="I11" s="23"/>
      <c r="J11" s="23"/>
      <c r="K11" s="23"/>
      <c r="L11" s="24"/>
      <c r="M11" s="24"/>
      <c r="N11" s="24"/>
      <c r="Q11" s="42">
        <f t="shared" si="0"/>
        <v>0</v>
      </c>
      <c r="R11" s="8"/>
    </row>
    <row r="12" spans="2:18" x14ac:dyDescent="0.25">
      <c r="B12" s="53"/>
      <c r="C12" s="54" t="s">
        <v>4</v>
      </c>
      <c r="D12" s="43" t="s">
        <v>7</v>
      </c>
      <c r="E12" s="67">
        <f>COUNTIFS('TOTAL KONTAK ERAT'!$F:$F,"brumbung")</f>
        <v>0</v>
      </c>
      <c r="F12" s="22"/>
      <c r="G12" s="23"/>
      <c r="H12" s="23"/>
      <c r="I12" s="23"/>
      <c r="J12" s="23"/>
      <c r="K12" s="23"/>
      <c r="L12" s="24"/>
      <c r="M12" s="24"/>
      <c r="N12" s="24"/>
      <c r="Q12" s="42">
        <f t="shared" si="0"/>
        <v>0</v>
      </c>
      <c r="R12" s="8"/>
    </row>
    <row r="13" spans="2:18" x14ac:dyDescent="0.25">
      <c r="B13" s="53"/>
      <c r="C13" s="54" t="s">
        <v>4</v>
      </c>
      <c r="D13" s="43" t="s">
        <v>8</v>
      </c>
      <c r="E13" s="67">
        <f>COUNTIFS('TOTAL KONTAK ERAT'!$F:$F,"Sumberejo",'TOTAL KONTAK ERAT'!$E:$E,"mranggen")</f>
        <v>0</v>
      </c>
      <c r="F13" s="22"/>
      <c r="G13" s="23"/>
      <c r="H13" s="23"/>
      <c r="I13" s="23"/>
      <c r="J13" s="23"/>
      <c r="K13" s="23"/>
      <c r="L13" s="24"/>
      <c r="M13" s="24"/>
      <c r="N13" s="24"/>
      <c r="Q13" s="42">
        <f t="shared" si="0"/>
        <v>0</v>
      </c>
      <c r="R13" s="8"/>
    </row>
    <row r="14" spans="2:18" x14ac:dyDescent="0.25">
      <c r="B14" s="53"/>
      <c r="C14" s="54" t="s">
        <v>4</v>
      </c>
      <c r="D14" s="43" t="s">
        <v>9</v>
      </c>
      <c r="E14" s="67">
        <f>COUNTIFS('TOTAL KONTAK ERAT'!$F:$F,"Bandungrejo",'TOTAL KONTAK ERAT'!$E:$E,"mranggen")</f>
        <v>0</v>
      </c>
      <c r="F14" s="22"/>
      <c r="G14" s="23"/>
      <c r="H14" s="23"/>
      <c r="I14" s="23"/>
      <c r="J14" s="23"/>
      <c r="K14" s="23"/>
      <c r="L14" s="24"/>
      <c r="M14" s="24"/>
      <c r="N14" s="24"/>
      <c r="Q14" s="42">
        <f t="shared" si="0"/>
        <v>0</v>
      </c>
      <c r="R14" s="8"/>
    </row>
    <row r="15" spans="2:18" x14ac:dyDescent="0.25">
      <c r="B15" s="53"/>
      <c r="C15" s="54" t="s">
        <v>4</v>
      </c>
      <c r="D15" s="43" t="s">
        <v>10</v>
      </c>
      <c r="E15" s="67">
        <f>COUNTIFS('TOTAL KONTAK ERAT'!$F:$F,"menur")</f>
        <v>0</v>
      </c>
      <c r="F15" s="22"/>
      <c r="G15" s="23"/>
      <c r="H15" s="23"/>
      <c r="I15" s="23"/>
      <c r="J15" s="23"/>
      <c r="K15" s="23"/>
      <c r="L15" s="24"/>
      <c r="M15" s="24"/>
      <c r="N15" s="24"/>
      <c r="Q15" s="42">
        <f t="shared" si="0"/>
        <v>0</v>
      </c>
      <c r="R15" s="8"/>
    </row>
    <row r="16" spans="2:18" x14ac:dyDescent="0.25">
      <c r="B16" s="53"/>
      <c r="C16" s="54" t="s">
        <v>4</v>
      </c>
      <c r="D16" s="43" t="s">
        <v>11</v>
      </c>
      <c r="E16" s="67">
        <f>COUNTIFS('TOTAL KONTAK ERAT'!$F:$F,"wringinjajar")</f>
        <v>0</v>
      </c>
      <c r="F16" s="22"/>
      <c r="G16" s="23"/>
      <c r="H16" s="23"/>
      <c r="I16" s="23"/>
      <c r="J16" s="23"/>
      <c r="K16" s="23"/>
      <c r="L16" s="24"/>
      <c r="M16" s="24"/>
      <c r="N16" s="24"/>
      <c r="Q16" s="42">
        <f t="shared" si="0"/>
        <v>0</v>
      </c>
      <c r="R16" s="8"/>
    </row>
    <row r="17" spans="2:18" x14ac:dyDescent="0.25">
      <c r="B17" s="53"/>
      <c r="C17" s="54" t="s">
        <v>4</v>
      </c>
      <c r="D17" s="43" t="s">
        <v>12</v>
      </c>
      <c r="E17" s="67">
        <f>COUNTIFS('TOTAL KONTAK ERAT'!$F:$F,"candisari")</f>
        <v>0</v>
      </c>
      <c r="F17" s="22"/>
      <c r="G17" s="23"/>
      <c r="H17" s="23"/>
      <c r="I17" s="23"/>
      <c r="J17" s="23"/>
      <c r="K17" s="23"/>
      <c r="L17" s="24"/>
      <c r="M17" s="24"/>
      <c r="N17" s="24"/>
      <c r="Q17" s="42">
        <f t="shared" si="0"/>
        <v>0</v>
      </c>
      <c r="R17" s="8"/>
    </row>
    <row r="18" spans="2:18" x14ac:dyDescent="0.25">
      <c r="B18" s="53"/>
      <c r="C18" s="54" t="s">
        <v>4</v>
      </c>
      <c r="D18" s="43" t="s">
        <v>13</v>
      </c>
      <c r="E18" s="67">
        <f>COUNTIFS('TOTAL KONTAK ERAT'!$F:$F,"ngemplak")</f>
        <v>0</v>
      </c>
      <c r="F18" s="22"/>
      <c r="G18" s="23"/>
      <c r="H18" s="23"/>
      <c r="I18" s="23"/>
      <c r="J18" s="23"/>
      <c r="K18" s="23"/>
      <c r="L18" s="24"/>
      <c r="M18" s="24"/>
      <c r="N18" s="24"/>
      <c r="Q18" s="42">
        <f t="shared" si="0"/>
        <v>0</v>
      </c>
      <c r="R18" s="8"/>
    </row>
    <row r="19" spans="2:18" x14ac:dyDescent="0.25">
      <c r="B19" s="53"/>
      <c r="C19" s="54" t="s">
        <v>4</v>
      </c>
      <c r="D19" s="43" t="s">
        <v>14</v>
      </c>
      <c r="E19" s="67">
        <f>COUNTIFS('TOTAL KONTAK ERAT'!$F:$F,"karangsono")</f>
        <v>0</v>
      </c>
      <c r="F19" s="22"/>
      <c r="G19" s="23"/>
      <c r="H19" s="23"/>
      <c r="I19" s="23"/>
      <c r="J19" s="23"/>
      <c r="K19" s="23"/>
      <c r="L19" s="24"/>
      <c r="M19" s="24"/>
      <c r="N19" s="24"/>
      <c r="Q19" s="42">
        <f t="shared" si="0"/>
        <v>0</v>
      </c>
      <c r="R19" s="8"/>
    </row>
    <row r="20" spans="2:18" x14ac:dyDescent="0.25">
      <c r="B20" s="53"/>
      <c r="C20" s="54" t="s">
        <v>4</v>
      </c>
      <c r="D20" s="43" t="s">
        <v>15</v>
      </c>
      <c r="E20" s="67">
        <f>COUNTIFS('TOTAL KONTAK ERAT'!$F:$F,"jamus")</f>
        <v>0</v>
      </c>
      <c r="F20" s="22"/>
      <c r="G20" s="23"/>
      <c r="H20" s="23"/>
      <c r="I20" s="23"/>
      <c r="J20" s="23"/>
      <c r="K20" s="23"/>
      <c r="L20" s="24"/>
      <c r="M20" s="24"/>
      <c r="N20" s="24"/>
      <c r="Q20" s="42">
        <f t="shared" si="0"/>
        <v>0</v>
      </c>
      <c r="R20" s="8"/>
    </row>
    <row r="21" spans="2:18" x14ac:dyDescent="0.25">
      <c r="B21" s="53"/>
      <c r="C21" s="54" t="s">
        <v>4</v>
      </c>
      <c r="D21" s="43" t="s">
        <v>16</v>
      </c>
      <c r="E21" s="67">
        <f>COUNTIFS('TOTAL KONTAK ERAT'!$F:$F,"waru")</f>
        <v>0</v>
      </c>
      <c r="F21" s="22"/>
      <c r="G21" s="23"/>
      <c r="H21" s="23"/>
      <c r="I21" s="23"/>
      <c r="J21" s="23"/>
      <c r="K21" s="23"/>
      <c r="L21" s="24"/>
      <c r="M21" s="24"/>
      <c r="N21" s="24"/>
      <c r="Q21" s="42">
        <f t="shared" si="0"/>
        <v>0</v>
      </c>
      <c r="R21" s="8"/>
    </row>
    <row r="22" spans="2:18" x14ac:dyDescent="0.25">
      <c r="B22" s="53"/>
      <c r="C22" s="54" t="s">
        <v>4</v>
      </c>
      <c r="D22" s="43" t="s">
        <v>17</v>
      </c>
      <c r="E22" s="67">
        <f>COUNTIFS('TOTAL KONTAK ERAT'!$F:$F,"tegalarum")</f>
        <v>0</v>
      </c>
      <c r="F22" s="22"/>
      <c r="G22" s="23"/>
      <c r="H22" s="23"/>
      <c r="I22" s="23"/>
      <c r="J22" s="23"/>
      <c r="K22" s="23"/>
      <c r="L22" s="24"/>
      <c r="M22" s="24"/>
      <c r="N22" s="24"/>
      <c r="Q22" s="42">
        <f t="shared" si="0"/>
        <v>0</v>
      </c>
      <c r="R22" s="8"/>
    </row>
    <row r="23" spans="2:18" x14ac:dyDescent="0.25">
      <c r="B23" s="53"/>
      <c r="C23" s="54" t="s">
        <v>4</v>
      </c>
      <c r="D23" s="43" t="s">
        <v>18</v>
      </c>
      <c r="E23" s="67">
        <f>COUNTIFS('TOTAL KONTAK ERAT'!$F:$F,"tamansari")</f>
        <v>0</v>
      </c>
      <c r="F23" s="22"/>
      <c r="G23" s="23"/>
      <c r="H23" s="23"/>
      <c r="I23" s="23"/>
      <c r="J23" s="23"/>
      <c r="K23" s="23"/>
      <c r="L23" s="24"/>
      <c r="M23" s="24"/>
      <c r="N23" s="24"/>
      <c r="Q23" s="42">
        <f t="shared" si="0"/>
        <v>0</v>
      </c>
      <c r="R23" s="8"/>
    </row>
    <row r="24" spans="2:18" x14ac:dyDescent="0.25">
      <c r="B24" s="53"/>
      <c r="C24" s="54" t="s">
        <v>4</v>
      </c>
      <c r="D24" s="43" t="s">
        <v>19</v>
      </c>
      <c r="E24" s="67">
        <f>COUNTIFS('TOTAL KONTAK ERAT'!$F:$F,"banyumeneng")</f>
        <v>0</v>
      </c>
      <c r="F24" s="22"/>
      <c r="G24" s="23"/>
      <c r="H24" s="23"/>
      <c r="I24" s="23"/>
      <c r="J24" s="23"/>
      <c r="K24" s="23"/>
      <c r="L24" s="24"/>
      <c r="M24" s="24"/>
      <c r="N24" s="24"/>
      <c r="Q24" s="42">
        <f t="shared" si="0"/>
        <v>0</v>
      </c>
      <c r="R24" s="8"/>
    </row>
    <row r="25" spans="2:18" x14ac:dyDescent="0.25">
      <c r="B25" s="53"/>
      <c r="C25" s="54" t="s">
        <v>4</v>
      </c>
      <c r="D25" s="43" t="s">
        <v>20</v>
      </c>
      <c r="E25" s="67">
        <f>COUNTIFS('TOTAL KONTAK ERAT'!$F:$F,"kebonbatur")</f>
        <v>0</v>
      </c>
      <c r="F25" s="22"/>
      <c r="G25" s="23"/>
      <c r="H25" s="23"/>
      <c r="I25" s="23"/>
      <c r="J25" s="23"/>
      <c r="K25" s="23"/>
      <c r="L25" s="24"/>
      <c r="M25" s="24"/>
      <c r="N25" s="24"/>
      <c r="Q25" s="42">
        <f t="shared" si="0"/>
        <v>0</v>
      </c>
      <c r="R25" s="8"/>
    </row>
    <row r="26" spans="2:18" x14ac:dyDescent="0.25">
      <c r="B26" s="53"/>
      <c r="C26" s="54" t="s">
        <v>4</v>
      </c>
      <c r="D26" s="43" t="s">
        <v>21</v>
      </c>
      <c r="E26" s="67">
        <f>COUNTIFS('TOTAL KONTAK ERAT'!$F:$F,"batursari")</f>
        <v>0</v>
      </c>
      <c r="F26" s="22"/>
      <c r="G26" s="23"/>
      <c r="H26" s="23"/>
      <c r="I26" s="23"/>
      <c r="J26" s="23"/>
      <c r="K26" s="23"/>
      <c r="L26" s="24"/>
      <c r="M26" s="24"/>
      <c r="N26" s="24"/>
      <c r="Q26" s="42">
        <f t="shared" si="0"/>
        <v>0</v>
      </c>
      <c r="R26" s="8"/>
    </row>
    <row r="27" spans="2:18" ht="15" customHeight="1" x14ac:dyDescent="0.25">
      <c r="B27" s="53">
        <v>2</v>
      </c>
      <c r="C27" s="54" t="s">
        <v>22</v>
      </c>
      <c r="D27" s="43" t="s">
        <v>23</v>
      </c>
      <c r="E27" s="67">
        <f>COUNTIFS('TOTAL KONTAK ERAT'!$F:$F,"wonowoso")</f>
        <v>0</v>
      </c>
      <c r="F27" s="22" t="e">
        <f>SUM(#REF!)</f>
        <v>#REF!</v>
      </c>
      <c r="G27" s="22" t="e">
        <f>SUM(#REF!)</f>
        <v>#REF!</v>
      </c>
      <c r="H27" s="22" t="e">
        <f>SUM(#REF!)</f>
        <v>#REF!</v>
      </c>
      <c r="I27" s="22" t="e">
        <f>SUM(#REF!)</f>
        <v>#REF!</v>
      </c>
      <c r="J27" s="22" t="e">
        <f>SUM(#REF!)</f>
        <v>#REF!</v>
      </c>
      <c r="K27" s="22" t="e">
        <f>SUM(#REF!)</f>
        <v>#REF!</v>
      </c>
      <c r="L27" s="22" t="e">
        <f>SUM(#REF!)</f>
        <v>#REF!</v>
      </c>
      <c r="M27" s="22">
        <f>SUM(E27:E43)</f>
        <v>0</v>
      </c>
      <c r="N27" s="22" t="e">
        <f>SUM(#REF!)</f>
        <v>#REF!</v>
      </c>
      <c r="Q27" s="42">
        <f t="shared" si="0"/>
        <v>0</v>
      </c>
      <c r="R27" s="125">
        <f>SUM(Q27:Q43)</f>
        <v>0</v>
      </c>
    </row>
    <row r="28" spans="2:18" ht="15" customHeight="1" x14ac:dyDescent="0.25">
      <c r="B28" s="53"/>
      <c r="C28" s="54" t="s">
        <v>22</v>
      </c>
      <c r="D28" s="43" t="s">
        <v>24</v>
      </c>
      <c r="E28" s="67">
        <f>COUNTIFS('TOTAL KONTAK ERAT'!$F:$F,"sampang")</f>
        <v>0</v>
      </c>
      <c r="F28" s="22"/>
      <c r="G28" s="23"/>
      <c r="H28" s="23"/>
      <c r="I28" s="23"/>
      <c r="J28" s="23"/>
      <c r="K28" s="23"/>
      <c r="L28" s="24"/>
      <c r="M28" s="24"/>
      <c r="N28" s="24"/>
      <c r="Q28" s="42">
        <f t="shared" si="0"/>
        <v>0</v>
      </c>
      <c r="R28" s="8"/>
    </row>
    <row r="29" spans="2:18" ht="15" customHeight="1" x14ac:dyDescent="0.25">
      <c r="B29" s="53"/>
      <c r="C29" s="54" t="s">
        <v>22</v>
      </c>
      <c r="D29" s="43" t="s">
        <v>241</v>
      </c>
      <c r="E29" s="67">
        <f>COUNTIFS('TOTAL KONTAK ERAT'!$F:$F,"tambakbulusan")</f>
        <v>0</v>
      </c>
      <c r="F29" s="22"/>
      <c r="G29" s="23"/>
      <c r="H29" s="23"/>
      <c r="I29" s="23"/>
      <c r="J29" s="23"/>
      <c r="K29" s="23"/>
      <c r="L29" s="24"/>
      <c r="M29" s="24"/>
      <c r="N29" s="24"/>
      <c r="Q29" s="42">
        <f t="shared" si="0"/>
        <v>0</v>
      </c>
      <c r="R29" s="8"/>
    </row>
    <row r="30" spans="2:18" ht="15" customHeight="1" x14ac:dyDescent="0.25">
      <c r="B30" s="53"/>
      <c r="C30" s="54" t="s">
        <v>22</v>
      </c>
      <c r="D30" s="43" t="s">
        <v>25</v>
      </c>
      <c r="E30" s="67">
        <f>COUNTIFS('TOTAL KONTAK ERAT'!$F:$F,"pulosari")</f>
        <v>0</v>
      </c>
      <c r="F30" s="22"/>
      <c r="G30" s="23"/>
      <c r="H30" s="23"/>
      <c r="I30" s="23"/>
      <c r="J30" s="23"/>
      <c r="K30" s="23"/>
      <c r="L30" s="24"/>
      <c r="M30" s="24"/>
      <c r="N30" s="24"/>
      <c r="Q30" s="42">
        <f t="shared" si="0"/>
        <v>0</v>
      </c>
      <c r="R30" s="8"/>
    </row>
    <row r="31" spans="2:18" ht="15" customHeight="1" x14ac:dyDescent="0.25">
      <c r="B31" s="53"/>
      <c r="C31" s="54" t="s">
        <v>22</v>
      </c>
      <c r="D31" s="43" t="s">
        <v>26</v>
      </c>
      <c r="E31" s="67">
        <f>COUNTIFS('TOTAL KONTAK ERAT'!$F:$F,"Rejosari",'TOTAL KONTAK ERAT'!$E:$E,"karangtengah")</f>
        <v>0</v>
      </c>
      <c r="F31" s="22"/>
      <c r="G31" s="23"/>
      <c r="H31" s="23"/>
      <c r="I31" s="23"/>
      <c r="J31" s="23"/>
      <c r="K31" s="23"/>
      <c r="L31" s="24"/>
      <c r="M31" s="24"/>
      <c r="N31" s="24"/>
      <c r="Q31" s="42">
        <f t="shared" si="0"/>
        <v>0</v>
      </c>
      <c r="R31" s="8"/>
    </row>
    <row r="32" spans="2:18" ht="15" customHeight="1" x14ac:dyDescent="0.25">
      <c r="B32" s="53"/>
      <c r="C32" s="54" t="s">
        <v>22</v>
      </c>
      <c r="D32" s="43" t="s">
        <v>27</v>
      </c>
      <c r="E32" s="67">
        <f>COUNTIFS('TOTAL KONTAK ERAT'!$F:$F,"Ploso")</f>
        <v>0</v>
      </c>
      <c r="F32" s="22"/>
      <c r="G32" s="23"/>
      <c r="H32" s="23"/>
      <c r="I32" s="23"/>
      <c r="J32" s="23"/>
      <c r="K32" s="23"/>
      <c r="L32" s="24"/>
      <c r="M32" s="24"/>
      <c r="N32" s="24"/>
      <c r="Q32" s="42">
        <f t="shared" si="0"/>
        <v>0</v>
      </c>
      <c r="R32" s="8"/>
    </row>
    <row r="33" spans="2:18" ht="15" customHeight="1" x14ac:dyDescent="0.25">
      <c r="B33" s="53"/>
      <c r="C33" s="54" t="s">
        <v>22</v>
      </c>
      <c r="D33" s="43" t="s">
        <v>28</v>
      </c>
      <c r="E33" s="67">
        <f>COUNTIFS('TOTAL KONTAK ERAT'!$F:$F,"Wonokerto")</f>
        <v>0</v>
      </c>
      <c r="F33" s="22"/>
      <c r="G33" s="23"/>
      <c r="H33" s="23"/>
      <c r="I33" s="23"/>
      <c r="J33" s="23"/>
      <c r="K33" s="23"/>
      <c r="L33" s="24"/>
      <c r="M33" s="24"/>
      <c r="N33" s="24"/>
      <c r="Q33" s="42">
        <f t="shared" si="0"/>
        <v>0</v>
      </c>
      <c r="R33" s="8"/>
    </row>
    <row r="34" spans="2:18" ht="15" customHeight="1" x14ac:dyDescent="0.25">
      <c r="B34" s="53"/>
      <c r="C34" s="54" t="s">
        <v>22</v>
      </c>
      <c r="D34" s="43" t="s">
        <v>239</v>
      </c>
      <c r="E34" s="67">
        <f>COUNTIFS('TOTAL KONTAK ERAT'!$F:$F,"Karangsari")</f>
        <v>0</v>
      </c>
      <c r="F34" s="22"/>
      <c r="G34" s="23"/>
      <c r="H34" s="23"/>
      <c r="I34" s="23"/>
      <c r="J34" s="23"/>
      <c r="K34" s="23"/>
      <c r="L34" s="24"/>
      <c r="M34" s="24"/>
      <c r="N34" s="24"/>
      <c r="Q34" s="42">
        <f t="shared" si="0"/>
        <v>0</v>
      </c>
      <c r="R34" s="8"/>
    </row>
    <row r="35" spans="2:18" ht="15" customHeight="1" x14ac:dyDescent="0.25">
      <c r="B35" s="53"/>
      <c r="C35" s="54" t="s">
        <v>22</v>
      </c>
      <c r="D35" s="43" t="s">
        <v>29</v>
      </c>
      <c r="E35" s="67">
        <f>COUNTIFS('TOTAL KONTAK ERAT'!$F:$F,"Batu")</f>
        <v>0</v>
      </c>
      <c r="F35" s="22"/>
      <c r="G35" s="23"/>
      <c r="H35" s="23"/>
      <c r="I35" s="23"/>
      <c r="J35" s="23"/>
      <c r="K35" s="23"/>
      <c r="L35" s="24"/>
      <c r="M35" s="24"/>
      <c r="N35" s="24"/>
      <c r="Q35" s="42">
        <f t="shared" si="0"/>
        <v>0</v>
      </c>
      <c r="R35" s="8"/>
    </row>
    <row r="36" spans="2:18" ht="15" customHeight="1" x14ac:dyDescent="0.25">
      <c r="B36" s="53"/>
      <c r="C36" s="54" t="s">
        <v>22</v>
      </c>
      <c r="D36" s="43" t="s">
        <v>30</v>
      </c>
      <c r="E36" s="67">
        <f>COUNTIFS('TOTAL KONTAK ERAT'!$F:$F,"Donorejo")</f>
        <v>0</v>
      </c>
      <c r="F36" s="22"/>
      <c r="G36" s="23"/>
      <c r="H36" s="23"/>
      <c r="I36" s="23"/>
      <c r="J36" s="23"/>
      <c r="K36" s="23"/>
      <c r="L36" s="24"/>
      <c r="M36" s="24"/>
      <c r="N36" s="24"/>
      <c r="Q36" s="42">
        <f t="shared" si="0"/>
        <v>0</v>
      </c>
      <c r="R36" s="8"/>
    </row>
    <row r="37" spans="2:18" ht="15" customHeight="1" x14ac:dyDescent="0.25">
      <c r="B37" s="53"/>
      <c r="C37" s="54" t="s">
        <v>22</v>
      </c>
      <c r="D37" s="43" t="s">
        <v>275</v>
      </c>
      <c r="E37" s="67">
        <f>COUNTIFS('TOTAL KONTAK ERAT'!$F:$F,"Kedunguter")</f>
        <v>0</v>
      </c>
      <c r="F37" s="22"/>
      <c r="G37" s="23"/>
      <c r="H37" s="23"/>
      <c r="I37" s="23"/>
      <c r="J37" s="23"/>
      <c r="K37" s="23"/>
      <c r="L37" s="24"/>
      <c r="M37" s="24"/>
      <c r="N37" s="24"/>
      <c r="Q37" s="42">
        <f t="shared" si="0"/>
        <v>0</v>
      </c>
      <c r="R37" s="8"/>
    </row>
    <row r="38" spans="2:18" ht="15" customHeight="1" x14ac:dyDescent="0.25">
      <c r="B38" s="53"/>
      <c r="C38" s="54" t="s">
        <v>22</v>
      </c>
      <c r="D38" s="43" t="s">
        <v>276</v>
      </c>
      <c r="E38" s="67">
        <f>COUNTIFS('TOTAL KONTAK ERAT'!$F:$F,"Karangtowo")</f>
        <v>0</v>
      </c>
      <c r="F38" s="22"/>
      <c r="G38" s="23"/>
      <c r="H38" s="23"/>
      <c r="I38" s="23"/>
      <c r="J38" s="23"/>
      <c r="K38" s="23"/>
      <c r="L38" s="24"/>
      <c r="M38" s="24"/>
      <c r="N38" s="24"/>
      <c r="Q38" s="42">
        <f t="shared" si="0"/>
        <v>0</v>
      </c>
      <c r="R38" s="8"/>
    </row>
    <row r="39" spans="2:18" ht="15" customHeight="1" x14ac:dyDescent="0.25">
      <c r="B39" s="53"/>
      <c r="C39" s="54" t="s">
        <v>22</v>
      </c>
      <c r="D39" s="43" t="s">
        <v>31</v>
      </c>
      <c r="E39" s="67">
        <f>COUNTIFS('TOTAL KONTAK ERAT'!$F:$F,"Wonoagung")</f>
        <v>0</v>
      </c>
      <c r="F39" s="22"/>
      <c r="G39" s="23"/>
      <c r="H39" s="23"/>
      <c r="I39" s="23"/>
      <c r="J39" s="23"/>
      <c r="K39" s="23"/>
      <c r="L39" s="24"/>
      <c r="M39" s="24"/>
      <c r="N39" s="24"/>
      <c r="Q39" s="42">
        <f t="shared" si="0"/>
        <v>0</v>
      </c>
      <c r="R39" s="8"/>
    </row>
    <row r="40" spans="2:18" ht="15" customHeight="1" x14ac:dyDescent="0.25">
      <c r="B40" s="53"/>
      <c r="C40" s="54" t="s">
        <v>22</v>
      </c>
      <c r="D40" s="43" t="s">
        <v>32</v>
      </c>
      <c r="E40" s="67">
        <f>COUNTIFS('TOTAL KONTAK ERAT'!$F:$F,"Klitih")</f>
        <v>0</v>
      </c>
      <c r="F40" s="22"/>
      <c r="G40" s="23"/>
      <c r="H40" s="23"/>
      <c r="I40" s="23"/>
      <c r="J40" s="23"/>
      <c r="K40" s="23"/>
      <c r="L40" s="24"/>
      <c r="M40" s="24"/>
      <c r="N40" s="24"/>
      <c r="Q40" s="42">
        <f t="shared" si="0"/>
        <v>0</v>
      </c>
      <c r="R40" s="8"/>
    </row>
    <row r="41" spans="2:18" ht="15" customHeight="1" x14ac:dyDescent="0.25">
      <c r="B41" s="53"/>
      <c r="C41" s="54" t="s">
        <v>22</v>
      </c>
      <c r="D41" s="43" t="s">
        <v>33</v>
      </c>
      <c r="E41" s="67">
        <f>COUNTIFS('TOTAL KONTAK ERAT'!$F:$F,"Grogol")</f>
        <v>0</v>
      </c>
      <c r="F41" s="22"/>
      <c r="G41" s="23"/>
      <c r="H41" s="23"/>
      <c r="I41" s="23"/>
      <c r="J41" s="23"/>
      <c r="K41" s="23"/>
      <c r="L41" s="24"/>
      <c r="M41" s="24"/>
      <c r="N41" s="24"/>
      <c r="Q41" s="42">
        <f t="shared" si="0"/>
        <v>0</v>
      </c>
      <c r="R41" s="8"/>
    </row>
    <row r="42" spans="2:18" ht="15" customHeight="1" x14ac:dyDescent="0.25">
      <c r="B42" s="53"/>
      <c r="C42" s="54" t="s">
        <v>22</v>
      </c>
      <c r="D42" s="43" t="s">
        <v>34</v>
      </c>
      <c r="E42" s="67">
        <f>COUNTIFS('TOTAL KONTAK ERAT'!$F:$F,"Pidodo")</f>
        <v>0</v>
      </c>
      <c r="F42" s="22"/>
      <c r="G42" s="23"/>
      <c r="H42" s="23"/>
      <c r="I42" s="23"/>
      <c r="J42" s="23"/>
      <c r="K42" s="23"/>
      <c r="L42" s="24"/>
      <c r="M42" s="24"/>
      <c r="N42" s="24"/>
      <c r="Q42" s="42">
        <f t="shared" si="0"/>
        <v>0</v>
      </c>
      <c r="R42" s="8"/>
    </row>
    <row r="43" spans="2:18" ht="15" customHeight="1" x14ac:dyDescent="0.25">
      <c r="B43" s="53"/>
      <c r="C43" s="54" t="s">
        <v>22</v>
      </c>
      <c r="D43" s="43" t="s">
        <v>35</v>
      </c>
      <c r="E43" s="67">
        <f>COUNTIFS('TOTAL KONTAK ERAT'!$F:$F,"Dukun")</f>
        <v>0</v>
      </c>
      <c r="F43" s="22"/>
      <c r="G43" s="23"/>
      <c r="H43" s="23"/>
      <c r="I43" s="23"/>
      <c r="J43" s="23"/>
      <c r="K43" s="23"/>
      <c r="L43" s="24"/>
      <c r="M43" s="24"/>
      <c r="N43" s="24"/>
      <c r="Q43" s="42">
        <f t="shared" si="0"/>
        <v>0</v>
      </c>
      <c r="R43" s="8"/>
    </row>
    <row r="44" spans="2:18" x14ac:dyDescent="0.25">
      <c r="B44" s="47">
        <v>3</v>
      </c>
      <c r="C44" s="55" t="s">
        <v>36</v>
      </c>
      <c r="D44" s="43" t="s">
        <v>37</v>
      </c>
      <c r="E44" s="67">
        <f>COUNTIFS('TOTAL KONTAK ERAT'!$F:$F,"Botorejo")</f>
        <v>0</v>
      </c>
      <c r="F44" s="22" t="e">
        <f>SUM(#REF!)</f>
        <v>#REF!</v>
      </c>
      <c r="G44" s="22" t="e">
        <f>SUM(#REF!)</f>
        <v>#REF!</v>
      </c>
      <c r="H44" s="22" t="e">
        <f>SUM(#REF!)</f>
        <v>#REF!</v>
      </c>
      <c r="I44" s="22" t="e">
        <f>SUM(#REF!)</f>
        <v>#REF!</v>
      </c>
      <c r="J44" s="22" t="e">
        <f>SUM(#REF!)</f>
        <v>#REF!</v>
      </c>
      <c r="K44" s="22" t="e">
        <f>SUM(#REF!)</f>
        <v>#REF!</v>
      </c>
      <c r="L44" s="22" t="e">
        <f>SUM(#REF!)</f>
        <v>#REF!</v>
      </c>
      <c r="M44" s="22">
        <f>SUM(E44:E64)</f>
        <v>0</v>
      </c>
      <c r="N44" s="22" t="e">
        <f>SUM(#REF!)</f>
        <v>#REF!</v>
      </c>
      <c r="Q44" s="42">
        <f t="shared" si="0"/>
        <v>0</v>
      </c>
      <c r="R44" s="125">
        <f>SUM(Q44:Q64)</f>
        <v>0</v>
      </c>
    </row>
    <row r="45" spans="2:18" x14ac:dyDescent="0.25">
      <c r="B45" s="47"/>
      <c r="C45" s="55" t="s">
        <v>36</v>
      </c>
      <c r="D45" s="43" t="s">
        <v>38</v>
      </c>
      <c r="E45" s="67">
        <f>COUNTIFS('TOTAL KONTAK ERAT'!$F:$F,"Getas")</f>
        <v>0</v>
      </c>
      <c r="F45" s="22"/>
      <c r="G45" s="23"/>
      <c r="H45" s="23"/>
      <c r="I45" s="23"/>
      <c r="J45" s="23"/>
      <c r="K45" s="23"/>
      <c r="L45" s="24"/>
      <c r="M45" s="24"/>
      <c r="N45" s="24"/>
      <c r="Q45" s="42">
        <f t="shared" si="0"/>
        <v>0</v>
      </c>
      <c r="R45" s="8"/>
    </row>
    <row r="46" spans="2:18" x14ac:dyDescent="0.25">
      <c r="B46" s="47"/>
      <c r="C46" s="55" t="s">
        <v>36</v>
      </c>
      <c r="D46" s="43" t="s">
        <v>39</v>
      </c>
      <c r="E46" s="67">
        <f>COUNTIFS('TOTAL KONTAK ERAT'!$F:$F,"Kuncir")</f>
        <v>0</v>
      </c>
      <c r="F46" s="22"/>
      <c r="G46" s="23"/>
      <c r="H46" s="23"/>
      <c r="I46" s="23"/>
      <c r="J46" s="23"/>
      <c r="K46" s="23"/>
      <c r="L46" s="24"/>
      <c r="M46" s="24"/>
      <c r="N46" s="24"/>
      <c r="Q46" s="42">
        <f t="shared" si="0"/>
        <v>0</v>
      </c>
      <c r="R46" s="8"/>
    </row>
    <row r="47" spans="2:18" x14ac:dyDescent="0.25">
      <c r="B47" s="47"/>
      <c r="C47" s="55" t="s">
        <v>36</v>
      </c>
      <c r="D47" s="43" t="s">
        <v>40</v>
      </c>
      <c r="E47" s="67">
        <f>COUNTIFS('TOTAL KONTAK ERAT'!$F:$F,"trengguli")</f>
        <v>0</v>
      </c>
      <c r="F47" s="22"/>
      <c r="G47" s="23"/>
      <c r="H47" s="23"/>
      <c r="I47" s="23"/>
      <c r="J47" s="23"/>
      <c r="K47" s="23"/>
      <c r="L47" s="24"/>
      <c r="M47" s="24"/>
      <c r="N47" s="24"/>
      <c r="Q47" s="42">
        <f t="shared" si="0"/>
        <v>0</v>
      </c>
      <c r="R47" s="8"/>
    </row>
    <row r="48" spans="2:18" x14ac:dyDescent="0.25">
      <c r="B48" s="47"/>
      <c r="C48" s="55" t="s">
        <v>36</v>
      </c>
      <c r="D48" s="43" t="s">
        <v>41</v>
      </c>
      <c r="E48" s="67">
        <f>COUNTIFS('TOTAL KONTAK ERAT'!$F:$F,"Mranak")</f>
        <v>0</v>
      </c>
      <c r="F48" s="22"/>
      <c r="G48" s="23"/>
      <c r="H48" s="23"/>
      <c r="I48" s="23"/>
      <c r="J48" s="23"/>
      <c r="K48" s="23"/>
      <c r="L48" s="24"/>
      <c r="M48" s="24"/>
      <c r="N48" s="24"/>
      <c r="Q48" s="42">
        <f t="shared" si="0"/>
        <v>0</v>
      </c>
      <c r="R48" s="8"/>
    </row>
    <row r="49" spans="2:18" x14ac:dyDescent="0.25">
      <c r="B49" s="47"/>
      <c r="C49" s="55" t="s">
        <v>36</v>
      </c>
      <c r="D49" s="43" t="s">
        <v>42</v>
      </c>
      <c r="E49" s="67">
        <f>COUNTIFS('TOTAL KONTAK ERAT'!$F:$F,"Pilangrejo")</f>
        <v>0</v>
      </c>
      <c r="F49" s="22"/>
      <c r="G49" s="23"/>
      <c r="H49" s="23"/>
      <c r="I49" s="23"/>
      <c r="J49" s="23"/>
      <c r="K49" s="23"/>
      <c r="L49" s="24"/>
      <c r="M49" s="24"/>
      <c r="N49" s="24"/>
      <c r="Q49" s="42">
        <f t="shared" si="0"/>
        <v>0</v>
      </c>
      <c r="R49" s="8"/>
    </row>
    <row r="50" spans="2:18" x14ac:dyDescent="0.25">
      <c r="B50" s="47"/>
      <c r="C50" s="55" t="s">
        <v>36</v>
      </c>
      <c r="D50" s="43" t="s">
        <v>43</v>
      </c>
      <c r="E50" s="67">
        <f>COUNTIFS('TOTAL KONTAK ERAT'!$F:$F,"Kerang kulon")</f>
        <v>0</v>
      </c>
      <c r="F50" s="22"/>
      <c r="G50" s="23"/>
      <c r="H50" s="23"/>
      <c r="I50" s="23"/>
      <c r="J50" s="23"/>
      <c r="K50" s="23"/>
      <c r="L50" s="24"/>
      <c r="M50" s="24"/>
      <c r="N50" s="24"/>
      <c r="Q50" s="42">
        <f t="shared" si="0"/>
        <v>0</v>
      </c>
      <c r="R50" s="8"/>
    </row>
    <row r="51" spans="2:18" x14ac:dyDescent="0.25">
      <c r="B51" s="47"/>
      <c r="C51" s="55" t="s">
        <v>36</v>
      </c>
      <c r="D51" s="43" t="s">
        <v>44</v>
      </c>
      <c r="E51" s="67">
        <f>COUNTIFS('TOTAL KONTAK ERAT'!$F:$F,"Sidomulyo",'TOTAL KONTAK ERAT'!$E:$E,"wonosalam")</f>
        <v>0</v>
      </c>
      <c r="F51" s="22"/>
      <c r="G51" s="23"/>
      <c r="H51" s="23"/>
      <c r="I51" s="23"/>
      <c r="J51" s="23"/>
      <c r="K51" s="23"/>
      <c r="L51" s="24"/>
      <c r="M51" s="24"/>
      <c r="N51" s="24"/>
      <c r="Q51" s="42">
        <f t="shared" si="0"/>
        <v>0</v>
      </c>
      <c r="R51" s="8"/>
    </row>
    <row r="52" spans="2:18" x14ac:dyDescent="0.25">
      <c r="B52" s="47"/>
      <c r="C52" s="55" t="s">
        <v>36</v>
      </c>
      <c r="D52" s="43" t="s">
        <v>45</v>
      </c>
      <c r="E52" s="67">
        <f>COUNTIFS('TOTAL KONTAK ERAT'!$F:$F,"Bunderan")</f>
        <v>0</v>
      </c>
      <c r="F52" s="22"/>
      <c r="G52" s="23"/>
      <c r="H52" s="23"/>
      <c r="I52" s="23"/>
      <c r="J52" s="23"/>
      <c r="K52" s="23"/>
      <c r="L52" s="24"/>
      <c r="M52" s="24"/>
      <c r="N52" s="24"/>
      <c r="Q52" s="42">
        <f t="shared" si="0"/>
        <v>0</v>
      </c>
      <c r="R52" s="8"/>
    </row>
    <row r="53" spans="2:18" x14ac:dyDescent="0.25">
      <c r="B53" s="47"/>
      <c r="C53" s="55" t="s">
        <v>36</v>
      </c>
      <c r="D53" s="43" t="s">
        <v>46</v>
      </c>
      <c r="E53" s="67">
        <f>COUNTIFS('TOTAL KONTAK ERAT'!$F:$F,"Mojodemak")</f>
        <v>0</v>
      </c>
      <c r="F53" s="22"/>
      <c r="G53" s="23"/>
      <c r="H53" s="23"/>
      <c r="I53" s="23"/>
      <c r="J53" s="23"/>
      <c r="K53" s="23"/>
      <c r="L53" s="24"/>
      <c r="M53" s="24"/>
      <c r="N53" s="24"/>
      <c r="Q53" s="42">
        <f t="shared" si="0"/>
        <v>0</v>
      </c>
      <c r="R53" s="8"/>
    </row>
    <row r="54" spans="2:18" x14ac:dyDescent="0.25">
      <c r="B54" s="47"/>
      <c r="C54" s="55" t="s">
        <v>36</v>
      </c>
      <c r="D54" s="43" t="s">
        <v>47</v>
      </c>
      <c r="E54" s="67">
        <f>COUNTIFS('TOTAL KONTAK ERAT'!$F:$F,"Mrisen")</f>
        <v>0</v>
      </c>
      <c r="F54" s="22"/>
      <c r="G54" s="23"/>
      <c r="H54" s="23"/>
      <c r="I54" s="23"/>
      <c r="J54" s="23"/>
      <c r="K54" s="23"/>
      <c r="L54" s="24"/>
      <c r="M54" s="24"/>
      <c r="N54" s="24"/>
      <c r="Q54" s="42">
        <f t="shared" si="0"/>
        <v>0</v>
      </c>
      <c r="R54" s="8"/>
    </row>
    <row r="55" spans="2:18" x14ac:dyDescent="0.25">
      <c r="B55" s="47"/>
      <c r="C55" s="55" t="s">
        <v>36</v>
      </c>
      <c r="D55" s="43" t="s">
        <v>48</v>
      </c>
      <c r="E55" s="67">
        <f>COUNTIFS('TOTAL KONTAK ERAT'!$F:$F,"Doreng")</f>
        <v>0</v>
      </c>
      <c r="F55" s="22"/>
      <c r="G55" s="23"/>
      <c r="H55" s="23"/>
      <c r="I55" s="23"/>
      <c r="J55" s="23"/>
      <c r="K55" s="23"/>
      <c r="L55" s="24"/>
      <c r="M55" s="24"/>
      <c r="N55" s="24"/>
      <c r="Q55" s="42">
        <f t="shared" si="0"/>
        <v>0</v>
      </c>
      <c r="R55" s="8"/>
    </row>
    <row r="56" spans="2:18" x14ac:dyDescent="0.25">
      <c r="B56" s="47"/>
      <c r="C56" s="55" t="s">
        <v>36</v>
      </c>
      <c r="D56" s="43" t="s">
        <v>273</v>
      </c>
      <c r="E56" s="67">
        <f>COUNTIFS('TOTAL KONTAK ERAT'!$F:$F,"Karangrowo")</f>
        <v>0</v>
      </c>
      <c r="F56" s="22"/>
      <c r="G56" s="23"/>
      <c r="H56" s="23"/>
      <c r="I56" s="23"/>
      <c r="J56" s="23"/>
      <c r="K56" s="23"/>
      <c r="L56" s="24"/>
      <c r="M56" s="24"/>
      <c r="N56" s="24"/>
      <c r="Q56" s="42">
        <f t="shared" si="0"/>
        <v>0</v>
      </c>
      <c r="R56" s="8"/>
    </row>
    <row r="57" spans="2:18" x14ac:dyDescent="0.25">
      <c r="B57" s="47"/>
      <c r="C57" s="55" t="s">
        <v>36</v>
      </c>
      <c r="D57" s="43" t="s">
        <v>49</v>
      </c>
      <c r="E57" s="67">
        <f>COUNTIFS('TOTAL KONTAK ERAT'!$F:$F,"Kalianyar")</f>
        <v>0</v>
      </c>
      <c r="F57" s="22"/>
      <c r="G57" s="23"/>
      <c r="H57" s="23"/>
      <c r="I57" s="23"/>
      <c r="J57" s="23"/>
      <c r="K57" s="23"/>
      <c r="L57" s="24"/>
      <c r="M57" s="24"/>
      <c r="N57" s="24"/>
      <c r="Q57" s="42">
        <f t="shared" si="0"/>
        <v>0</v>
      </c>
      <c r="R57" s="8"/>
    </row>
    <row r="58" spans="2:18" x14ac:dyDescent="0.25">
      <c r="B58" s="47"/>
      <c r="C58" s="55" t="s">
        <v>36</v>
      </c>
      <c r="D58" s="43" t="s">
        <v>36</v>
      </c>
      <c r="E58" s="67">
        <f>COUNTIFS('TOTAL KONTAK ERAT'!$F:$F,"Wonosalam")</f>
        <v>0</v>
      </c>
      <c r="F58" s="22"/>
      <c r="G58" s="23"/>
      <c r="H58" s="23"/>
      <c r="I58" s="23"/>
      <c r="J58" s="23"/>
      <c r="K58" s="23"/>
      <c r="L58" s="24"/>
      <c r="M58" s="24"/>
      <c r="N58" s="24"/>
      <c r="Q58" s="42">
        <f t="shared" si="0"/>
        <v>0</v>
      </c>
      <c r="R58" s="8"/>
    </row>
    <row r="59" spans="2:18" x14ac:dyDescent="0.25">
      <c r="B59" s="47"/>
      <c r="C59" s="55" t="s">
        <v>36</v>
      </c>
      <c r="D59" s="43" t="s">
        <v>50</v>
      </c>
      <c r="E59" s="67">
        <f>COUNTIFS('TOTAL KONTAK ERAT'!$F:$F,"Tlogorejo",'TOTAL KONTAK ERAT'!$E:$E,"wonosalam")</f>
        <v>0</v>
      </c>
      <c r="F59" s="22"/>
      <c r="G59" s="23"/>
      <c r="H59" s="23"/>
      <c r="I59" s="23"/>
      <c r="J59" s="23"/>
      <c r="K59" s="23"/>
      <c r="L59" s="24"/>
      <c r="M59" s="24"/>
      <c r="N59" s="24"/>
      <c r="Q59" s="42">
        <f t="shared" si="0"/>
        <v>0</v>
      </c>
      <c r="R59" s="8"/>
    </row>
    <row r="60" spans="2:18" x14ac:dyDescent="0.25">
      <c r="B60" s="47"/>
      <c r="C60" s="55" t="s">
        <v>36</v>
      </c>
      <c r="D60" s="43" t="s">
        <v>51</v>
      </c>
      <c r="E60" s="67">
        <f>COUNTIFS('TOTAL KONTAK ERAT'!$F:$F,"Tlogodowo")</f>
        <v>0</v>
      </c>
      <c r="F60" s="22"/>
      <c r="G60" s="23"/>
      <c r="H60" s="23"/>
      <c r="I60" s="23"/>
      <c r="J60" s="23"/>
      <c r="K60" s="23"/>
      <c r="L60" s="24"/>
      <c r="M60" s="24"/>
      <c r="N60" s="24"/>
      <c r="Q60" s="42">
        <f t="shared" si="0"/>
        <v>0</v>
      </c>
      <c r="R60" s="8"/>
    </row>
    <row r="61" spans="2:18" x14ac:dyDescent="0.25">
      <c r="B61" s="47"/>
      <c r="C61" s="55" t="s">
        <v>36</v>
      </c>
      <c r="D61" s="43" t="s">
        <v>52</v>
      </c>
      <c r="E61" s="67">
        <f>COUNTIFS('TOTAL KONTAK ERAT'!$F:$F,"Lempuyang")</f>
        <v>0</v>
      </c>
      <c r="F61" s="22"/>
      <c r="G61" s="23"/>
      <c r="H61" s="23"/>
      <c r="I61" s="23"/>
      <c r="J61" s="23"/>
      <c r="K61" s="23"/>
      <c r="L61" s="24"/>
      <c r="M61" s="24"/>
      <c r="N61" s="24"/>
      <c r="Q61" s="42">
        <f t="shared" si="0"/>
        <v>0</v>
      </c>
      <c r="R61" s="8"/>
    </row>
    <row r="62" spans="2:18" x14ac:dyDescent="0.25">
      <c r="B62" s="47"/>
      <c r="C62" s="55" t="s">
        <v>36</v>
      </c>
      <c r="D62" s="43" t="s">
        <v>53</v>
      </c>
      <c r="E62" s="67">
        <f>COUNTIFS('TOTAL KONTAK ERAT'!$F:$F,"Karangrejo",'TOTAL KONTAK ERAT'!$E:$E,"Wonosalam")</f>
        <v>0</v>
      </c>
      <c r="F62" s="22"/>
      <c r="G62" s="23"/>
      <c r="H62" s="23"/>
      <c r="I62" s="23"/>
      <c r="J62" s="23"/>
      <c r="K62" s="23"/>
      <c r="L62" s="24"/>
      <c r="M62" s="24"/>
      <c r="N62" s="24"/>
      <c r="Q62" s="42">
        <f t="shared" si="0"/>
        <v>0</v>
      </c>
      <c r="R62" s="8"/>
    </row>
    <row r="63" spans="2:18" x14ac:dyDescent="0.25">
      <c r="B63" s="47"/>
      <c r="C63" s="55" t="s">
        <v>36</v>
      </c>
      <c r="D63" s="43" t="s">
        <v>274</v>
      </c>
      <c r="E63" s="67">
        <f>COUNTIFS('TOTAL KONTAK ERAT'!$F:$F,"Kendaldoyong")</f>
        <v>0</v>
      </c>
      <c r="F63" s="22"/>
      <c r="G63" s="23"/>
      <c r="H63" s="23"/>
      <c r="I63" s="23"/>
      <c r="J63" s="23"/>
      <c r="K63" s="23"/>
      <c r="L63" s="24"/>
      <c r="M63" s="24"/>
      <c r="N63" s="24"/>
      <c r="Q63" s="42">
        <f t="shared" si="0"/>
        <v>0</v>
      </c>
      <c r="R63" s="8"/>
    </row>
    <row r="64" spans="2:18" x14ac:dyDescent="0.25">
      <c r="B64" s="47"/>
      <c r="C64" s="55" t="s">
        <v>36</v>
      </c>
      <c r="D64" s="43" t="s">
        <v>54</v>
      </c>
      <c r="E64" s="67">
        <f>COUNTIFS('TOTAL KONTAK ERAT'!$F:$F,"Jogoloyo")</f>
        <v>0</v>
      </c>
      <c r="F64" s="22"/>
      <c r="G64" s="23"/>
      <c r="H64" s="23"/>
      <c r="I64" s="23"/>
      <c r="J64" s="23"/>
      <c r="K64" s="23"/>
      <c r="L64" s="24"/>
      <c r="M64" s="24"/>
      <c r="N64" s="24"/>
      <c r="Q64" s="42">
        <f t="shared" si="0"/>
        <v>0</v>
      </c>
      <c r="R64" s="8"/>
    </row>
    <row r="65" spans="2:18" x14ac:dyDescent="0.25">
      <c r="B65" s="53">
        <v>4</v>
      </c>
      <c r="C65" s="54" t="s">
        <v>55</v>
      </c>
      <c r="D65" s="56" t="s">
        <v>56</v>
      </c>
      <c r="E65" s="67">
        <f>COUNTIFS('TOTAL KONTAK ERAT'!$F:$F,"Kedondong",'TOTAL KONTAK ERAT'!$E:$E,"gajah")</f>
        <v>0</v>
      </c>
      <c r="F65" s="22" t="e">
        <f>SUM(#REF!)</f>
        <v>#REF!</v>
      </c>
      <c r="G65" s="22" t="e">
        <f>SUM(#REF!)</f>
        <v>#REF!</v>
      </c>
      <c r="H65" s="22" t="e">
        <f>SUM(#REF!)</f>
        <v>#REF!</v>
      </c>
      <c r="I65" s="22" t="e">
        <f>SUM(#REF!)</f>
        <v>#REF!</v>
      </c>
      <c r="J65" s="22" t="e">
        <f>SUM(#REF!)</f>
        <v>#REF!</v>
      </c>
      <c r="K65" s="22" t="e">
        <f>SUM(#REF!)</f>
        <v>#REF!</v>
      </c>
      <c r="L65" s="22" t="e">
        <f>SUM(#REF!)</f>
        <v>#REF!</v>
      </c>
      <c r="M65" s="22">
        <f>SUM(E65:E82)</f>
        <v>0</v>
      </c>
      <c r="N65" s="22" t="e">
        <f>SUM(#REF!)</f>
        <v>#REF!</v>
      </c>
      <c r="Q65" s="42">
        <f t="shared" si="0"/>
        <v>0</v>
      </c>
      <c r="R65" s="125">
        <f>SUM(Q65:Q82)</f>
        <v>0</v>
      </c>
    </row>
    <row r="66" spans="2:18" x14ac:dyDescent="0.25">
      <c r="B66" s="53"/>
      <c r="C66" s="54" t="s">
        <v>55</v>
      </c>
      <c r="D66" s="57" t="s">
        <v>57</v>
      </c>
      <c r="E66" s="67">
        <f>COUNTIFS('TOTAL KONTAK ERAT'!$F:$F,"Banjarsari",'TOTAL KONTAK ERAT'!$E:$E,"gajah")</f>
        <v>0</v>
      </c>
      <c r="F66" s="22"/>
      <c r="G66" s="23"/>
      <c r="H66" s="23"/>
      <c r="I66" s="23"/>
      <c r="J66" s="23"/>
      <c r="K66" s="23"/>
      <c r="L66" s="24"/>
      <c r="M66" s="24"/>
      <c r="N66" s="24"/>
      <c r="Q66" s="42">
        <f t="shared" si="0"/>
        <v>0</v>
      </c>
      <c r="R66" s="8"/>
    </row>
    <row r="67" spans="2:18" x14ac:dyDescent="0.25">
      <c r="B67" s="53"/>
      <c r="C67" s="54" t="s">
        <v>55</v>
      </c>
      <c r="D67" s="56" t="s">
        <v>55</v>
      </c>
      <c r="E67" s="67">
        <f>COUNTIFS('TOTAL KONTAK ERAT'!$F:$F,"Gajah")</f>
        <v>0</v>
      </c>
      <c r="F67" s="22"/>
      <c r="G67" s="23"/>
      <c r="H67" s="23"/>
      <c r="I67" s="23"/>
      <c r="J67" s="23"/>
      <c r="K67" s="23"/>
      <c r="L67" s="24"/>
      <c r="M67" s="24"/>
      <c r="N67" s="24"/>
      <c r="Q67" s="42">
        <f t="shared" si="0"/>
        <v>0</v>
      </c>
      <c r="R67" s="8"/>
    </row>
    <row r="68" spans="2:18" x14ac:dyDescent="0.25">
      <c r="B68" s="53"/>
      <c r="C68" s="54" t="s">
        <v>55</v>
      </c>
      <c r="D68" s="56" t="s">
        <v>58</v>
      </c>
      <c r="E68" s="67">
        <f>COUNTIFS('TOTAL KONTAK ERAT'!$F:$F,"Sari")</f>
        <v>0</v>
      </c>
      <c r="F68" s="22"/>
      <c r="G68" s="23"/>
      <c r="H68" s="23"/>
      <c r="I68" s="23"/>
      <c r="J68" s="23"/>
      <c r="K68" s="23"/>
      <c r="L68" s="24"/>
      <c r="M68" s="24"/>
      <c r="N68" s="24"/>
      <c r="Q68" s="42">
        <f t="shared" si="0"/>
        <v>0</v>
      </c>
      <c r="R68" s="8"/>
    </row>
    <row r="69" spans="2:18" x14ac:dyDescent="0.25">
      <c r="B69" s="53"/>
      <c r="C69" s="54" t="s">
        <v>55</v>
      </c>
      <c r="D69" s="56" t="s">
        <v>59</v>
      </c>
      <c r="E69" s="67">
        <f>COUNTIFS('TOTAL KONTAK ERAT'!$F:$F,"Boyolali")</f>
        <v>0</v>
      </c>
      <c r="F69" s="22"/>
      <c r="G69" s="23"/>
      <c r="H69" s="23"/>
      <c r="I69" s="23"/>
      <c r="J69" s="23"/>
      <c r="K69" s="23"/>
      <c r="L69" s="24"/>
      <c r="M69" s="24"/>
      <c r="N69" s="24"/>
      <c r="Q69" s="42">
        <f t="shared" si="0"/>
        <v>0</v>
      </c>
      <c r="R69" s="8"/>
    </row>
    <row r="70" spans="2:18" x14ac:dyDescent="0.25">
      <c r="B70" s="53"/>
      <c r="C70" s="54" t="s">
        <v>55</v>
      </c>
      <c r="D70" s="56" t="s">
        <v>60</v>
      </c>
      <c r="E70" s="67">
        <f>COUNTIFS('TOTAL KONTAK ERAT'!$F:$F,"Jatisono")</f>
        <v>0</v>
      </c>
      <c r="F70" s="22"/>
      <c r="G70" s="23"/>
      <c r="H70" s="23"/>
      <c r="I70" s="23"/>
      <c r="J70" s="23"/>
      <c r="K70" s="23"/>
      <c r="L70" s="24"/>
      <c r="M70" s="24"/>
      <c r="N70" s="24"/>
      <c r="Q70" s="42">
        <f t="shared" si="0"/>
        <v>0</v>
      </c>
      <c r="R70" s="8"/>
    </row>
    <row r="71" spans="2:18" x14ac:dyDescent="0.25">
      <c r="B71" s="53"/>
      <c r="C71" s="54" t="s">
        <v>55</v>
      </c>
      <c r="D71" s="56" t="s">
        <v>61</v>
      </c>
      <c r="E71" s="67">
        <f>COUNTIFS('TOTAL KONTAK ERAT'!$F:$F,"Sambiroto")</f>
        <v>0</v>
      </c>
      <c r="F71" s="22"/>
      <c r="G71" s="23"/>
      <c r="H71" s="23"/>
      <c r="I71" s="23"/>
      <c r="J71" s="23"/>
      <c r="K71" s="23"/>
      <c r="L71" s="24"/>
      <c r="M71" s="24"/>
      <c r="N71" s="24"/>
      <c r="Q71" s="42">
        <f t="shared" si="0"/>
        <v>0</v>
      </c>
      <c r="R71" s="8"/>
    </row>
    <row r="72" spans="2:18" x14ac:dyDescent="0.25">
      <c r="B72" s="53"/>
      <c r="C72" s="54" t="s">
        <v>55</v>
      </c>
      <c r="D72" s="56" t="s">
        <v>62</v>
      </c>
      <c r="E72" s="67">
        <f>COUNTIFS('TOTAL KONTAK ERAT'!$F:$F,"Tlogopandogan")</f>
        <v>0</v>
      </c>
      <c r="F72" s="22"/>
      <c r="G72" s="23"/>
      <c r="H72" s="23"/>
      <c r="I72" s="23"/>
      <c r="J72" s="23"/>
      <c r="K72" s="23"/>
      <c r="L72" s="24"/>
      <c r="M72" s="24"/>
      <c r="N72" s="24"/>
      <c r="Q72" s="42">
        <f t="shared" ref="Q72:Q135" si="1">SUM(E72:E72)</f>
        <v>0</v>
      </c>
      <c r="R72" s="8"/>
    </row>
    <row r="73" spans="2:18" x14ac:dyDescent="0.25">
      <c r="B73" s="53"/>
      <c r="C73" s="54" t="s">
        <v>55</v>
      </c>
      <c r="D73" s="56" t="s">
        <v>63</v>
      </c>
      <c r="E73" s="67">
        <f>COUNTIFS('TOTAL KONTAK ERAT'!$F:$F,"Surodadi",'TOTAL KONTAK ERAT'!$E:$E,"gajah")</f>
        <v>0</v>
      </c>
      <c r="F73" s="22"/>
      <c r="G73" s="23"/>
      <c r="H73" s="23"/>
      <c r="I73" s="23"/>
      <c r="J73" s="23"/>
      <c r="K73" s="23"/>
      <c r="L73" s="24"/>
      <c r="M73" s="24"/>
      <c r="N73" s="24"/>
      <c r="Q73" s="42">
        <f t="shared" si="1"/>
        <v>0</v>
      </c>
      <c r="R73" s="8"/>
    </row>
    <row r="74" spans="2:18" x14ac:dyDescent="0.25">
      <c r="B74" s="53"/>
      <c r="C74" s="54" t="s">
        <v>55</v>
      </c>
      <c r="D74" s="56" t="s">
        <v>64</v>
      </c>
      <c r="E74" s="67">
        <f>COUNTIFS('TOTAL KONTAK ERAT'!$F:$F,"Gedangalas")</f>
        <v>0</v>
      </c>
      <c r="F74" s="22"/>
      <c r="G74" s="23"/>
      <c r="H74" s="23"/>
      <c r="I74" s="23"/>
      <c r="J74" s="23"/>
      <c r="K74" s="23"/>
      <c r="L74" s="24"/>
      <c r="M74" s="24"/>
      <c r="N74" s="24"/>
      <c r="Q74" s="42">
        <f t="shared" si="1"/>
        <v>0</v>
      </c>
      <c r="R74" s="8"/>
    </row>
    <row r="75" spans="2:18" x14ac:dyDescent="0.25">
      <c r="B75" s="53"/>
      <c r="C75" s="54" t="s">
        <v>55</v>
      </c>
      <c r="D75" s="56" t="s">
        <v>65</v>
      </c>
      <c r="E75" s="67">
        <f>COUNTIFS('TOTAL KONTAK ERAT'!$F:$F,"Sambung")</f>
        <v>0</v>
      </c>
      <c r="F75" s="22"/>
      <c r="G75" s="23"/>
      <c r="H75" s="23"/>
      <c r="I75" s="23"/>
      <c r="J75" s="23"/>
      <c r="K75" s="23"/>
      <c r="L75" s="24"/>
      <c r="M75" s="24"/>
      <c r="N75" s="24"/>
      <c r="Q75" s="42">
        <f t="shared" si="1"/>
        <v>0</v>
      </c>
      <c r="R75" s="8"/>
    </row>
    <row r="76" spans="2:18" x14ac:dyDescent="0.25">
      <c r="B76" s="53"/>
      <c r="C76" s="54" t="s">
        <v>55</v>
      </c>
      <c r="D76" s="56" t="s">
        <v>66</v>
      </c>
      <c r="E76" s="67">
        <f>COUNTIFS('TOTAL KONTAK ERAT'!$F:$F,"Tambirejo")</f>
        <v>0</v>
      </c>
      <c r="F76" s="22"/>
      <c r="G76" s="23"/>
      <c r="H76" s="23"/>
      <c r="I76" s="23"/>
      <c r="J76" s="23"/>
      <c r="K76" s="23"/>
      <c r="L76" s="24"/>
      <c r="M76" s="24"/>
      <c r="N76" s="24"/>
      <c r="Q76" s="42">
        <f t="shared" si="1"/>
        <v>0</v>
      </c>
      <c r="R76" s="8"/>
    </row>
    <row r="77" spans="2:18" x14ac:dyDescent="0.25">
      <c r="B77" s="53"/>
      <c r="C77" s="54" t="s">
        <v>55</v>
      </c>
      <c r="D77" s="56" t="s">
        <v>67</v>
      </c>
      <c r="E77" s="67">
        <f>COUNTIFS('TOTAL KONTAK ERAT'!$F:$F,"Mlatiharjo")</f>
        <v>0</v>
      </c>
      <c r="F77" s="22"/>
      <c r="G77" s="23"/>
      <c r="H77" s="23"/>
      <c r="I77" s="23"/>
      <c r="J77" s="23"/>
      <c r="K77" s="23"/>
      <c r="L77" s="24"/>
      <c r="M77" s="24"/>
      <c r="N77" s="24"/>
      <c r="Q77" s="42">
        <f t="shared" si="1"/>
        <v>0</v>
      </c>
      <c r="R77" s="8"/>
    </row>
    <row r="78" spans="2:18" x14ac:dyDescent="0.25">
      <c r="B78" s="53"/>
      <c r="C78" s="54" t="s">
        <v>55</v>
      </c>
      <c r="D78" s="56" t="s">
        <v>68</v>
      </c>
      <c r="E78" s="67">
        <f>COUNTIFS('TOTAL KONTAK ERAT'!$F:$F,"Mojosimo")</f>
        <v>0</v>
      </c>
      <c r="F78" s="22"/>
      <c r="G78" s="23"/>
      <c r="H78" s="23"/>
      <c r="I78" s="23"/>
      <c r="J78" s="23"/>
      <c r="K78" s="23"/>
      <c r="L78" s="24"/>
      <c r="M78" s="24"/>
      <c r="N78" s="24"/>
      <c r="Q78" s="42">
        <f t="shared" si="1"/>
        <v>0</v>
      </c>
      <c r="R78" s="8"/>
    </row>
    <row r="79" spans="2:18" x14ac:dyDescent="0.25">
      <c r="B79" s="53"/>
      <c r="C79" s="54" t="s">
        <v>55</v>
      </c>
      <c r="D79" s="56" t="s">
        <v>69</v>
      </c>
      <c r="E79" s="67">
        <f>COUNTIFS('TOTAL KONTAK ERAT'!$F:$F,"Medini")</f>
        <v>0</v>
      </c>
      <c r="F79" s="22"/>
      <c r="G79" s="23"/>
      <c r="H79" s="23"/>
      <c r="I79" s="23"/>
      <c r="J79" s="23"/>
      <c r="K79" s="23"/>
      <c r="L79" s="24"/>
      <c r="M79" s="24"/>
      <c r="N79" s="24"/>
      <c r="Q79" s="42">
        <f t="shared" si="1"/>
        <v>0</v>
      </c>
      <c r="R79" s="8"/>
    </row>
    <row r="80" spans="2:18" x14ac:dyDescent="0.25">
      <c r="B80" s="53"/>
      <c r="C80" s="54" t="s">
        <v>55</v>
      </c>
      <c r="D80" s="56" t="s">
        <v>70</v>
      </c>
      <c r="E80" s="67">
        <f>COUNTIFS('TOTAL KONTAK ERAT'!$F:$F,"Wilalung")</f>
        <v>0</v>
      </c>
      <c r="F80" s="22"/>
      <c r="G80" s="23"/>
      <c r="H80" s="23"/>
      <c r="I80" s="23"/>
      <c r="J80" s="23"/>
      <c r="K80" s="23"/>
      <c r="L80" s="24"/>
      <c r="M80" s="24"/>
      <c r="N80" s="24"/>
      <c r="Q80" s="42">
        <f t="shared" si="1"/>
        <v>0</v>
      </c>
      <c r="R80" s="8"/>
    </row>
    <row r="81" spans="2:18" x14ac:dyDescent="0.25">
      <c r="B81" s="53"/>
      <c r="C81" s="54" t="s">
        <v>55</v>
      </c>
      <c r="D81" s="56" t="s">
        <v>71</v>
      </c>
      <c r="E81" s="67">
        <f>COUNTIFS('TOTAL KONTAK ERAT'!$F:$F,"Tanjunganyar")</f>
        <v>0</v>
      </c>
      <c r="F81" s="22"/>
      <c r="G81" s="23"/>
      <c r="H81" s="23"/>
      <c r="I81" s="23"/>
      <c r="J81" s="23"/>
      <c r="K81" s="23"/>
      <c r="L81" s="24"/>
      <c r="M81" s="24"/>
      <c r="N81" s="24"/>
      <c r="Q81" s="42">
        <f t="shared" si="1"/>
        <v>0</v>
      </c>
      <c r="R81" s="8"/>
    </row>
    <row r="82" spans="2:18" x14ac:dyDescent="0.25">
      <c r="B82" s="53"/>
      <c r="C82" s="54" t="s">
        <v>55</v>
      </c>
      <c r="D82" s="56" t="s">
        <v>72</v>
      </c>
      <c r="E82" s="67">
        <f>COUNTIFS('TOTAL KONTAK ERAT'!$F:$F,"Mlekang")</f>
        <v>0</v>
      </c>
      <c r="F82" s="22"/>
      <c r="G82" s="23"/>
      <c r="H82" s="23"/>
      <c r="I82" s="23"/>
      <c r="J82" s="23"/>
      <c r="K82" s="23"/>
      <c r="L82" s="24"/>
      <c r="M82" s="24"/>
      <c r="N82" s="24"/>
      <c r="Q82" s="42">
        <f t="shared" si="1"/>
        <v>0</v>
      </c>
      <c r="R82" s="8"/>
    </row>
    <row r="83" spans="2:18" ht="15" customHeight="1" x14ac:dyDescent="0.25">
      <c r="B83" s="53">
        <v>5</v>
      </c>
      <c r="C83" s="18" t="s">
        <v>73</v>
      </c>
      <c r="D83" s="43" t="s">
        <v>74</v>
      </c>
      <c r="E83" s="67">
        <f>COUNTIFS('TOTAL KONTAK ERAT'!$F:$F,"Cangkring B")</f>
        <v>0</v>
      </c>
      <c r="F83" s="22" t="e">
        <f>SUM(#REF!)</f>
        <v>#REF!</v>
      </c>
      <c r="G83" s="22" t="e">
        <f>SUM(#REF!)</f>
        <v>#REF!</v>
      </c>
      <c r="H83" s="22" t="e">
        <f>SUM(#REF!)</f>
        <v>#REF!</v>
      </c>
      <c r="I83" s="22" t="e">
        <f>SUM(#REF!)</f>
        <v>#REF!</v>
      </c>
      <c r="J83" s="22" t="e">
        <f>SUM(#REF!)</f>
        <v>#REF!</v>
      </c>
      <c r="K83" s="22" t="e">
        <f>SUM(#REF!)</f>
        <v>#REF!</v>
      </c>
      <c r="L83" s="22" t="e">
        <f>SUM(#REF!)</f>
        <v>#REF!</v>
      </c>
      <c r="M83" s="22">
        <f>SUM(E83:E99)</f>
        <v>0</v>
      </c>
      <c r="N83" s="22" t="e">
        <f>SUM(#REF!)</f>
        <v>#REF!</v>
      </c>
      <c r="Q83" s="42">
        <f t="shared" si="1"/>
        <v>0</v>
      </c>
      <c r="R83" s="125">
        <f>SUM(Q83:Q99)</f>
        <v>0</v>
      </c>
    </row>
    <row r="84" spans="2:18" ht="15" customHeight="1" x14ac:dyDescent="0.25">
      <c r="B84" s="53"/>
      <c r="C84" s="18" t="s">
        <v>73</v>
      </c>
      <c r="D84" s="43" t="s">
        <v>75</v>
      </c>
      <c r="E84" s="67">
        <f>COUNTIFS('TOTAL KONTAK ERAT'!$F:$F,"Undaan Lor")</f>
        <v>0</v>
      </c>
      <c r="F84" s="22"/>
      <c r="G84" s="23"/>
      <c r="H84" s="23"/>
      <c r="I84" s="23"/>
      <c r="J84" s="23"/>
      <c r="K84" s="23"/>
      <c r="L84" s="24"/>
      <c r="M84" s="24"/>
      <c r="N84" s="24"/>
      <c r="Q84" s="42">
        <f t="shared" si="1"/>
        <v>0</v>
      </c>
      <c r="R84" s="8"/>
    </row>
    <row r="85" spans="2:18" ht="15" customHeight="1" x14ac:dyDescent="0.25">
      <c r="B85" s="53"/>
      <c r="C85" s="18" t="s">
        <v>73</v>
      </c>
      <c r="D85" s="43" t="s">
        <v>76</v>
      </c>
      <c r="E85" s="67">
        <f>COUNTIFS('TOTAL KONTAK ERAT'!$F:$F,"Undaan Kidul")</f>
        <v>0</v>
      </c>
      <c r="F85" s="22"/>
      <c r="G85" s="23"/>
      <c r="H85" s="23"/>
      <c r="I85" s="23"/>
      <c r="J85" s="23"/>
      <c r="K85" s="23"/>
      <c r="L85" s="24"/>
      <c r="M85" s="24"/>
      <c r="N85" s="24"/>
      <c r="Q85" s="42">
        <f t="shared" si="1"/>
        <v>0</v>
      </c>
      <c r="R85" s="8"/>
    </row>
    <row r="86" spans="2:18" ht="15" customHeight="1" x14ac:dyDescent="0.25">
      <c r="B86" s="53"/>
      <c r="C86" s="18" t="s">
        <v>73</v>
      </c>
      <c r="D86" s="43" t="s">
        <v>77</v>
      </c>
      <c r="E86" s="67">
        <f>COUNTIFS('TOTAL KONTAK ERAT'!$F:$F,"Ketanjung")</f>
        <v>0</v>
      </c>
      <c r="F86" s="22"/>
      <c r="G86" s="23"/>
      <c r="H86" s="23"/>
      <c r="I86" s="23"/>
      <c r="J86" s="23"/>
      <c r="K86" s="23"/>
      <c r="L86" s="24"/>
      <c r="M86" s="24"/>
      <c r="N86" s="24"/>
      <c r="Q86" s="42">
        <f t="shared" si="1"/>
        <v>0</v>
      </c>
      <c r="R86" s="8"/>
    </row>
    <row r="87" spans="2:18" ht="15" customHeight="1" x14ac:dyDescent="0.25">
      <c r="B87" s="53"/>
      <c r="C87" s="18" t="s">
        <v>73</v>
      </c>
      <c r="D87" s="43" t="s">
        <v>279</v>
      </c>
      <c r="E87" s="67">
        <f>COUNTIFS('TOTAL KONTAK ERAT'!$F:$F,"Cangkring Rembang")</f>
        <v>0</v>
      </c>
      <c r="F87" s="22"/>
      <c r="G87" s="23"/>
      <c r="H87" s="23"/>
      <c r="I87" s="23"/>
      <c r="J87" s="23"/>
      <c r="K87" s="23"/>
      <c r="L87" s="24"/>
      <c r="M87" s="24"/>
      <c r="N87" s="24"/>
      <c r="Q87" s="42">
        <f t="shared" si="1"/>
        <v>0</v>
      </c>
      <c r="R87" s="8"/>
    </row>
    <row r="88" spans="2:18" ht="15" customHeight="1" x14ac:dyDescent="0.25">
      <c r="B88" s="53"/>
      <c r="C88" s="18" t="s">
        <v>73</v>
      </c>
      <c r="D88" s="43" t="s">
        <v>79</v>
      </c>
      <c r="E88" s="67">
        <f>COUNTIFS('TOTAL KONTAK ERAT'!$F:$F,"Tuwang")</f>
        <v>0</v>
      </c>
      <c r="F88" s="22"/>
      <c r="G88" s="23"/>
      <c r="H88" s="23"/>
      <c r="I88" s="23"/>
      <c r="J88" s="23"/>
      <c r="K88" s="23"/>
      <c r="L88" s="24"/>
      <c r="M88" s="24"/>
      <c r="N88" s="24"/>
      <c r="Q88" s="42">
        <f t="shared" si="1"/>
        <v>0</v>
      </c>
      <c r="R88" s="8"/>
    </row>
    <row r="89" spans="2:18" ht="15" customHeight="1" x14ac:dyDescent="0.25">
      <c r="B89" s="53"/>
      <c r="C89" s="18" t="s">
        <v>73</v>
      </c>
      <c r="D89" s="43" t="s">
        <v>80</v>
      </c>
      <c r="E89" s="67">
        <f>COUNTIFS('TOTAL KONTAK ERAT'!$F:$F,"Wonorejo",'TOTAL KONTAK ERAT'!$E:$E,"karanganyar")</f>
        <v>0</v>
      </c>
      <c r="F89" s="22"/>
      <c r="G89" s="23"/>
      <c r="H89" s="23"/>
      <c r="I89" s="23"/>
      <c r="J89" s="23"/>
      <c r="K89" s="23"/>
      <c r="L89" s="24"/>
      <c r="M89" s="24"/>
      <c r="N89" s="24"/>
      <c r="Q89" s="42">
        <f t="shared" si="1"/>
        <v>0</v>
      </c>
      <c r="R89" s="8"/>
    </row>
    <row r="90" spans="2:18" ht="15" customHeight="1" x14ac:dyDescent="0.25">
      <c r="B90" s="53"/>
      <c r="C90" s="18" t="s">
        <v>73</v>
      </c>
      <c r="D90" s="43" t="s">
        <v>280</v>
      </c>
      <c r="E90" s="67">
        <f>COUNTIFS('TOTAL KONTAK ERAT'!$F:$F,"Ngemplik Wetan")</f>
        <v>0</v>
      </c>
      <c r="F90" s="22"/>
      <c r="G90" s="23"/>
      <c r="H90" s="23"/>
      <c r="I90" s="23"/>
      <c r="J90" s="23"/>
      <c r="K90" s="23"/>
      <c r="L90" s="24"/>
      <c r="M90" s="24"/>
      <c r="N90" s="24"/>
      <c r="Q90" s="42">
        <f t="shared" si="1"/>
        <v>0</v>
      </c>
      <c r="R90" s="8"/>
    </row>
    <row r="91" spans="2:18" ht="15" customHeight="1" x14ac:dyDescent="0.25">
      <c r="B91" s="53"/>
      <c r="C91" s="18" t="s">
        <v>73</v>
      </c>
      <c r="D91" s="43" t="s">
        <v>73</v>
      </c>
      <c r="E91" s="67">
        <f>COUNTIFS('TOTAL KONTAK ERAT'!$F:$F,"Karanganyar")</f>
        <v>0</v>
      </c>
      <c r="F91" s="22"/>
      <c r="G91" s="23"/>
      <c r="H91" s="23"/>
      <c r="I91" s="23"/>
      <c r="J91" s="23"/>
      <c r="K91" s="23"/>
      <c r="L91" s="24"/>
      <c r="M91" s="24"/>
      <c r="N91" s="24"/>
      <c r="Q91" s="42">
        <f t="shared" si="1"/>
        <v>0</v>
      </c>
      <c r="R91" s="8"/>
    </row>
    <row r="92" spans="2:18" ht="15" customHeight="1" x14ac:dyDescent="0.25">
      <c r="B92" s="53"/>
      <c r="C92" s="18" t="s">
        <v>73</v>
      </c>
      <c r="D92" s="43" t="s">
        <v>81</v>
      </c>
      <c r="E92" s="67">
        <f>COUNTIFS('TOTAL KONTAK ERAT'!$F:$F,"Ngaluran")</f>
        <v>0</v>
      </c>
      <c r="F92" s="22"/>
      <c r="G92" s="23"/>
      <c r="H92" s="23"/>
      <c r="I92" s="23"/>
      <c r="J92" s="23"/>
      <c r="K92" s="23"/>
      <c r="L92" s="24"/>
      <c r="M92" s="24"/>
      <c r="N92" s="24"/>
      <c r="Q92" s="42">
        <f t="shared" si="1"/>
        <v>0</v>
      </c>
      <c r="R92" s="8"/>
    </row>
    <row r="93" spans="2:18" ht="15" customHeight="1" x14ac:dyDescent="0.25">
      <c r="B93" s="53"/>
      <c r="C93" s="18" t="s">
        <v>73</v>
      </c>
      <c r="D93" s="43" t="s">
        <v>82</v>
      </c>
      <c r="E93" s="67">
        <f>COUNTIFS('TOTAL KONTAK ERAT'!$F:$F,"Kedungwaru Kidul")</f>
        <v>0</v>
      </c>
      <c r="F93" s="22"/>
      <c r="G93" s="23"/>
      <c r="H93" s="23"/>
      <c r="I93" s="23"/>
      <c r="J93" s="23"/>
      <c r="K93" s="23"/>
      <c r="L93" s="24"/>
      <c r="M93" s="24"/>
      <c r="N93" s="24"/>
      <c r="Q93" s="42">
        <f t="shared" si="1"/>
        <v>0</v>
      </c>
      <c r="R93" s="8"/>
    </row>
    <row r="94" spans="2:18" ht="15" customHeight="1" x14ac:dyDescent="0.25">
      <c r="B94" s="53"/>
      <c r="C94" s="18" t="s">
        <v>73</v>
      </c>
      <c r="D94" s="43" t="s">
        <v>83</v>
      </c>
      <c r="E94" s="67">
        <f>COUNTIFS('TOTAL KONTAK ERAT'!$F:$F,"Kedungwaru Lor")</f>
        <v>0</v>
      </c>
      <c r="F94" s="22"/>
      <c r="G94" s="23"/>
      <c r="H94" s="23"/>
      <c r="I94" s="23"/>
      <c r="J94" s="23"/>
      <c r="K94" s="23"/>
      <c r="L94" s="24"/>
      <c r="M94" s="24"/>
      <c r="N94" s="24"/>
      <c r="Q94" s="42">
        <f t="shared" si="1"/>
        <v>0</v>
      </c>
      <c r="R94" s="8"/>
    </row>
    <row r="95" spans="2:18" ht="15" customHeight="1" x14ac:dyDescent="0.25">
      <c r="B95" s="53"/>
      <c r="C95" s="18" t="s">
        <v>73</v>
      </c>
      <c r="D95" s="43" t="s">
        <v>84</v>
      </c>
      <c r="E95" s="67">
        <f>COUNTIFS('TOTAL KONTAK ERAT'!$F:$F,"Tugu Lor")</f>
        <v>0</v>
      </c>
      <c r="F95" s="22"/>
      <c r="G95" s="23"/>
      <c r="H95" s="23"/>
      <c r="I95" s="23"/>
      <c r="J95" s="23"/>
      <c r="K95" s="23"/>
      <c r="L95" s="24"/>
      <c r="M95" s="24"/>
      <c r="N95" s="24"/>
      <c r="Q95" s="42">
        <f t="shared" si="1"/>
        <v>0</v>
      </c>
      <c r="R95" s="8"/>
    </row>
    <row r="96" spans="2:18" ht="15" customHeight="1" x14ac:dyDescent="0.25">
      <c r="B96" s="53"/>
      <c r="C96" s="18" t="s">
        <v>73</v>
      </c>
      <c r="D96" s="43" t="s">
        <v>294</v>
      </c>
      <c r="E96" s="67">
        <f>COUNTIFS('TOTAL KONTAK ERAT'!$F:$F,"Kotakan")</f>
        <v>0</v>
      </c>
      <c r="F96" s="22"/>
      <c r="G96" s="23"/>
      <c r="H96" s="23"/>
      <c r="I96" s="23"/>
      <c r="J96" s="23"/>
      <c r="K96" s="23"/>
      <c r="L96" s="24"/>
      <c r="M96" s="24"/>
      <c r="N96" s="24"/>
      <c r="Q96" s="42">
        <f t="shared" si="1"/>
        <v>0</v>
      </c>
      <c r="R96" s="8"/>
    </row>
    <row r="97" spans="2:18" ht="15" customHeight="1" x14ac:dyDescent="0.25">
      <c r="B97" s="53"/>
      <c r="C97" s="18" t="s">
        <v>73</v>
      </c>
      <c r="D97" s="43" t="s">
        <v>85</v>
      </c>
      <c r="E97" s="67">
        <f>COUNTIFS('TOTAL KONTAK ERAT'!$F:$F,"Wonoketingal")</f>
        <v>0</v>
      </c>
      <c r="F97" s="22"/>
      <c r="G97" s="23"/>
      <c r="H97" s="23"/>
      <c r="I97" s="23"/>
      <c r="J97" s="23"/>
      <c r="K97" s="23"/>
      <c r="L97" s="24"/>
      <c r="M97" s="24"/>
      <c r="N97" s="24"/>
      <c r="Q97" s="42">
        <f t="shared" si="1"/>
        <v>0</v>
      </c>
      <c r="R97" s="8"/>
    </row>
    <row r="98" spans="2:18" ht="15" customHeight="1" x14ac:dyDescent="0.25">
      <c r="B98" s="53"/>
      <c r="C98" s="18" t="s">
        <v>73</v>
      </c>
      <c r="D98" s="43" t="s">
        <v>86</v>
      </c>
      <c r="E98" s="67">
        <f>COUNTIFS('TOTAL KONTAK ERAT'!$F:$F,"Jatirejo")</f>
        <v>0</v>
      </c>
      <c r="F98" s="22"/>
      <c r="G98" s="23"/>
      <c r="H98" s="23"/>
      <c r="I98" s="23"/>
      <c r="J98" s="23"/>
      <c r="K98" s="23"/>
      <c r="L98" s="24"/>
      <c r="M98" s="24"/>
      <c r="N98" s="24"/>
      <c r="Q98" s="42">
        <f t="shared" si="1"/>
        <v>0</v>
      </c>
      <c r="R98" s="8"/>
    </row>
    <row r="99" spans="2:18" ht="15" customHeight="1" x14ac:dyDescent="0.25">
      <c r="B99" s="53"/>
      <c r="C99" s="18" t="s">
        <v>73</v>
      </c>
      <c r="D99" s="43" t="s">
        <v>9</v>
      </c>
      <c r="E99" s="67">
        <f>COUNTIFS('TOTAL KONTAK ERAT'!$F:$F,"Bandungrejo",'TOTAL KONTAK ERAT'!$E:$E,"Karanganyar")</f>
        <v>0</v>
      </c>
      <c r="F99" s="22"/>
      <c r="G99" s="23"/>
      <c r="H99" s="23"/>
      <c r="I99" s="23"/>
      <c r="J99" s="23"/>
      <c r="K99" s="23"/>
      <c r="L99" s="24"/>
      <c r="M99" s="24"/>
      <c r="N99" s="24"/>
      <c r="Q99" s="42">
        <f t="shared" si="1"/>
        <v>0</v>
      </c>
      <c r="R99" s="8"/>
    </row>
    <row r="100" spans="2:18" ht="15" customHeight="1" x14ac:dyDescent="0.25">
      <c r="B100" s="53">
        <v>6</v>
      </c>
      <c r="C100" s="18" t="s">
        <v>87</v>
      </c>
      <c r="D100" s="43" t="s">
        <v>88</v>
      </c>
      <c r="E100" s="67">
        <f>COUNTIFS('TOTAL KONTAK ERAT'!$F:$F,"Mijen",'TOTAL KONTAK ERAT'!$E:$E,"mijen")</f>
        <v>0</v>
      </c>
      <c r="F100" s="22" t="e">
        <f>SUM(#REF!)</f>
        <v>#REF!</v>
      </c>
      <c r="G100" s="22" t="e">
        <f>SUM(#REF!)</f>
        <v>#REF!</v>
      </c>
      <c r="H100" s="22" t="e">
        <f>SUM(#REF!)</f>
        <v>#REF!</v>
      </c>
      <c r="I100" s="22" t="e">
        <f>SUM(#REF!)</f>
        <v>#REF!</v>
      </c>
      <c r="J100" s="22" t="e">
        <f>SUM(#REF!)</f>
        <v>#REF!</v>
      </c>
      <c r="K100" s="22" t="e">
        <f>SUM(#REF!)</f>
        <v>#REF!</v>
      </c>
      <c r="L100" s="22" t="e">
        <f>SUM(#REF!)</f>
        <v>#REF!</v>
      </c>
      <c r="M100" s="22">
        <f>SUM(E100:E114)</f>
        <v>0</v>
      </c>
      <c r="N100" s="22" t="e">
        <f>SUM(#REF!)</f>
        <v>#REF!</v>
      </c>
      <c r="Q100" s="42">
        <f t="shared" si="1"/>
        <v>0</v>
      </c>
      <c r="R100" s="125">
        <f>SUM(Q100:Q114)</f>
        <v>0</v>
      </c>
    </row>
    <row r="101" spans="2:18" ht="15" customHeight="1" x14ac:dyDescent="0.25">
      <c r="B101" s="53"/>
      <c r="C101" s="18" t="s">
        <v>87</v>
      </c>
      <c r="D101" s="43" t="s">
        <v>89</v>
      </c>
      <c r="E101" s="67">
        <f>COUNTIFS('TOTAL KONTAK ERAT'!$F:$F,"Geneng")</f>
        <v>0</v>
      </c>
      <c r="F101" s="22"/>
      <c r="G101" s="23"/>
      <c r="H101" s="23"/>
      <c r="I101" s="23"/>
      <c r="J101" s="23"/>
      <c r="K101" s="23"/>
      <c r="L101" s="24"/>
      <c r="M101" s="24"/>
      <c r="N101" s="24"/>
      <c r="Q101" s="42">
        <f t="shared" si="1"/>
        <v>0</v>
      </c>
      <c r="R101" s="8"/>
    </row>
    <row r="102" spans="2:18" ht="15" customHeight="1" x14ac:dyDescent="0.25">
      <c r="B102" s="53"/>
      <c r="C102" s="18" t="s">
        <v>87</v>
      </c>
      <c r="D102" s="43" t="s">
        <v>90</v>
      </c>
      <c r="E102" s="67">
        <f>COUNTIFS('TOTAL KONTAK ERAT'!$F:$F,"Tanggul")</f>
        <v>0</v>
      </c>
      <c r="F102" s="22"/>
      <c r="G102" s="23"/>
      <c r="H102" s="23"/>
      <c r="I102" s="23"/>
      <c r="J102" s="23"/>
      <c r="K102" s="23"/>
      <c r="L102" s="24"/>
      <c r="M102" s="24"/>
      <c r="N102" s="24"/>
      <c r="Q102" s="42">
        <f t="shared" si="1"/>
        <v>0</v>
      </c>
      <c r="R102" s="8"/>
    </row>
    <row r="103" spans="2:18" ht="15" customHeight="1" x14ac:dyDescent="0.25">
      <c r="B103" s="53"/>
      <c r="C103" s="18" t="s">
        <v>87</v>
      </c>
      <c r="D103" s="43" t="s">
        <v>473</v>
      </c>
      <c r="E103" s="67">
        <f>COUNTIFS('TOTAL KONTAK ERAT'!$F:$F,"Bantengmati")</f>
        <v>0</v>
      </c>
      <c r="F103" s="22"/>
      <c r="G103" s="23"/>
      <c r="H103" s="23"/>
      <c r="I103" s="23"/>
      <c r="J103" s="23"/>
      <c r="K103" s="23"/>
      <c r="L103" s="24"/>
      <c r="M103" s="24"/>
      <c r="N103" s="24"/>
      <c r="Q103" s="42">
        <f t="shared" si="1"/>
        <v>0</v>
      </c>
      <c r="R103" s="8"/>
    </row>
    <row r="104" spans="2:18" ht="15" customHeight="1" x14ac:dyDescent="0.25">
      <c r="B104" s="53"/>
      <c r="C104" s="18" t="s">
        <v>87</v>
      </c>
      <c r="D104" s="43" t="s">
        <v>91</v>
      </c>
      <c r="E104" s="67">
        <f>COUNTIFS('TOTAL KONTAK ERAT'!$F:$F,"Mlaten")</f>
        <v>0</v>
      </c>
      <c r="F104" s="22"/>
      <c r="G104" s="23"/>
      <c r="H104" s="23"/>
      <c r="I104" s="23"/>
      <c r="J104" s="23"/>
      <c r="K104" s="23"/>
      <c r="L104" s="24"/>
      <c r="M104" s="24"/>
      <c r="N104" s="24"/>
      <c r="Q104" s="42">
        <f t="shared" si="1"/>
        <v>0</v>
      </c>
      <c r="R104" s="8"/>
    </row>
    <row r="105" spans="2:18" ht="15" customHeight="1" x14ac:dyDescent="0.25">
      <c r="B105" s="53"/>
      <c r="C105" s="18" t="s">
        <v>87</v>
      </c>
      <c r="D105" s="43" t="s">
        <v>92</v>
      </c>
      <c r="E105" s="67">
        <f>COUNTIFS('TOTAL KONTAK ERAT'!$F:$F,"Bermi")</f>
        <v>0</v>
      </c>
      <c r="F105" s="22"/>
      <c r="G105" s="23"/>
      <c r="H105" s="23"/>
      <c r="I105" s="23"/>
      <c r="J105" s="23"/>
      <c r="K105" s="23"/>
      <c r="L105" s="24"/>
      <c r="M105" s="24"/>
      <c r="N105" s="24"/>
      <c r="Q105" s="42">
        <f t="shared" si="1"/>
        <v>0</v>
      </c>
      <c r="R105" s="8"/>
    </row>
    <row r="106" spans="2:18" ht="15" customHeight="1" x14ac:dyDescent="0.25">
      <c r="B106" s="53"/>
      <c r="C106" s="18" t="s">
        <v>87</v>
      </c>
      <c r="D106" s="43" t="s">
        <v>93</v>
      </c>
      <c r="E106" s="67">
        <f>COUNTIFS('TOTAL KONTAK ERAT'!$F:$F,"Gempolsongo")</f>
        <v>0</v>
      </c>
      <c r="F106" s="22"/>
      <c r="G106" s="23"/>
      <c r="H106" s="23"/>
      <c r="I106" s="23"/>
      <c r="J106" s="23"/>
      <c r="K106" s="23"/>
      <c r="L106" s="24"/>
      <c r="M106" s="24"/>
      <c r="N106" s="24"/>
      <c r="Q106" s="42">
        <f t="shared" si="1"/>
        <v>0</v>
      </c>
      <c r="R106" s="8"/>
    </row>
    <row r="107" spans="2:18" ht="15" customHeight="1" x14ac:dyDescent="0.25">
      <c r="B107" s="53"/>
      <c r="C107" s="18" t="s">
        <v>87</v>
      </c>
      <c r="D107" s="43" t="s">
        <v>94</v>
      </c>
      <c r="E107" s="67">
        <f>COUNTIFS('TOTAL KONTAK ERAT'!$F:$F,"Ngelo wetan")</f>
        <v>0</v>
      </c>
      <c r="F107" s="22"/>
      <c r="G107" s="23"/>
      <c r="H107" s="23"/>
      <c r="I107" s="23"/>
      <c r="J107" s="23"/>
      <c r="K107" s="23"/>
      <c r="L107" s="24"/>
      <c r="M107" s="24"/>
      <c r="N107" s="24"/>
      <c r="Q107" s="42">
        <f t="shared" si="1"/>
        <v>0</v>
      </c>
      <c r="R107" s="8"/>
    </row>
    <row r="108" spans="2:18" ht="15" customHeight="1" x14ac:dyDescent="0.25">
      <c r="B108" s="53"/>
      <c r="C108" s="18" t="s">
        <v>87</v>
      </c>
      <c r="D108" s="43" t="s">
        <v>95</v>
      </c>
      <c r="E108" s="67">
        <f>COUNTIFS('TOTAL KONTAK ERAT'!$F:$F,"Bakung")</f>
        <v>0</v>
      </c>
      <c r="F108" s="22"/>
      <c r="G108" s="23"/>
      <c r="H108" s="23"/>
      <c r="I108" s="23"/>
      <c r="J108" s="23"/>
      <c r="K108" s="23"/>
      <c r="L108" s="24"/>
      <c r="M108" s="24"/>
      <c r="N108" s="24"/>
      <c r="Q108" s="42">
        <f t="shared" si="1"/>
        <v>0</v>
      </c>
      <c r="R108" s="8"/>
    </row>
    <row r="109" spans="2:18" ht="15" customHeight="1" x14ac:dyDescent="0.25">
      <c r="B109" s="53"/>
      <c r="C109" s="18" t="s">
        <v>87</v>
      </c>
      <c r="D109" s="43" t="s">
        <v>96</v>
      </c>
      <c r="E109" s="67">
        <f>COUNTIFS('TOTAL KONTAK ERAT'!$F:$F,"Pasir")</f>
        <v>0</v>
      </c>
      <c r="F109" s="22"/>
      <c r="G109" s="23"/>
      <c r="H109" s="23"/>
      <c r="I109" s="23"/>
      <c r="J109" s="23"/>
      <c r="K109" s="23"/>
      <c r="L109" s="24"/>
      <c r="M109" s="24"/>
      <c r="N109" s="24"/>
      <c r="Q109" s="42">
        <f t="shared" si="1"/>
        <v>0</v>
      </c>
      <c r="R109" s="8"/>
    </row>
    <row r="110" spans="2:18" ht="15" customHeight="1" x14ac:dyDescent="0.25">
      <c r="B110" s="53"/>
      <c r="C110" s="18" t="s">
        <v>87</v>
      </c>
      <c r="D110" s="43" t="s">
        <v>97</v>
      </c>
      <c r="E110" s="67">
        <f>COUNTIFS('TOTAL KONTAK ERAT'!$F:$F,"Jleper")</f>
        <v>0</v>
      </c>
      <c r="F110" s="22"/>
      <c r="G110" s="23"/>
      <c r="H110" s="23"/>
      <c r="I110" s="23"/>
      <c r="J110" s="23"/>
      <c r="K110" s="23"/>
      <c r="L110" s="24"/>
      <c r="M110" s="24"/>
      <c r="N110" s="24"/>
      <c r="Q110" s="42">
        <f t="shared" si="1"/>
        <v>0</v>
      </c>
      <c r="R110" s="8"/>
    </row>
    <row r="111" spans="2:18" ht="15" customHeight="1" x14ac:dyDescent="0.25">
      <c r="B111" s="53"/>
      <c r="C111" s="18" t="s">
        <v>87</v>
      </c>
      <c r="D111" s="43" t="s">
        <v>26</v>
      </c>
      <c r="E111" s="67">
        <f>COUNTIFS('TOTAL KONTAK ERAT'!$F:$F,"Rejosari",'TOTAL KONTAK ERAT'!$E:$E,"mijen")</f>
        <v>0</v>
      </c>
      <c r="F111" s="22"/>
      <c r="G111" s="23"/>
      <c r="H111" s="23"/>
      <c r="I111" s="23"/>
      <c r="J111" s="23"/>
      <c r="K111" s="23"/>
      <c r="L111" s="24"/>
      <c r="M111" s="24"/>
      <c r="N111" s="24"/>
      <c r="Q111" s="42">
        <f t="shared" si="1"/>
        <v>0</v>
      </c>
      <c r="R111" s="8"/>
    </row>
    <row r="112" spans="2:18" ht="15" customHeight="1" x14ac:dyDescent="0.25">
      <c r="B112" s="53"/>
      <c r="C112" s="18" t="s">
        <v>87</v>
      </c>
      <c r="D112" s="43" t="s">
        <v>98</v>
      </c>
      <c r="E112" s="67">
        <f>COUNTIFS('TOTAL KONTAK ERAT'!$F:$F,"Ngegot")</f>
        <v>0</v>
      </c>
      <c r="F112" s="22"/>
      <c r="G112" s="23"/>
      <c r="H112" s="23"/>
      <c r="I112" s="23"/>
      <c r="J112" s="23"/>
      <c r="K112" s="23"/>
      <c r="L112" s="24"/>
      <c r="M112" s="24"/>
      <c r="N112" s="24"/>
      <c r="Q112" s="42">
        <f t="shared" si="1"/>
        <v>0</v>
      </c>
      <c r="R112" s="8"/>
    </row>
    <row r="113" spans="2:18" ht="15" customHeight="1" x14ac:dyDescent="0.25">
      <c r="B113" s="53"/>
      <c r="C113" s="18" t="s">
        <v>87</v>
      </c>
      <c r="D113" s="43" t="s">
        <v>99</v>
      </c>
      <c r="E113" s="67">
        <f>COUNTIFS('TOTAL KONTAK ERAT'!$F:$F,"Pecuk")</f>
        <v>0</v>
      </c>
      <c r="F113" s="22"/>
      <c r="G113" s="23"/>
      <c r="H113" s="23"/>
      <c r="I113" s="23"/>
      <c r="J113" s="23"/>
      <c r="K113" s="23"/>
      <c r="L113" s="24"/>
      <c r="M113" s="24"/>
      <c r="N113" s="24"/>
      <c r="Q113" s="42">
        <f t="shared" si="1"/>
        <v>0</v>
      </c>
      <c r="R113" s="8"/>
    </row>
    <row r="114" spans="2:18" ht="15" customHeight="1" x14ac:dyDescent="0.25">
      <c r="B114" s="53"/>
      <c r="C114" s="18" t="s">
        <v>87</v>
      </c>
      <c r="D114" s="43" t="s">
        <v>100</v>
      </c>
      <c r="E114" s="67">
        <f>COUNTIFS('TOTAL KONTAK ERAT'!$F:$F,"Ngelo Kulon")</f>
        <v>0</v>
      </c>
      <c r="F114" s="22"/>
      <c r="G114" s="23"/>
      <c r="H114" s="23"/>
      <c r="I114" s="23"/>
      <c r="J114" s="23"/>
      <c r="K114" s="23"/>
      <c r="L114" s="24"/>
      <c r="M114" s="24"/>
      <c r="N114" s="24"/>
      <c r="Q114" s="42">
        <f t="shared" si="1"/>
        <v>0</v>
      </c>
      <c r="R114" s="8"/>
    </row>
    <row r="115" spans="2:18" x14ac:dyDescent="0.25">
      <c r="B115" s="53">
        <v>7</v>
      </c>
      <c r="C115" s="18" t="s">
        <v>101</v>
      </c>
      <c r="D115" s="43" t="s">
        <v>102</v>
      </c>
      <c r="E115" s="67">
        <f>COUNTIFS('TOTAL KONTAK ERAT'!$F:$F,"Betokan")</f>
        <v>0</v>
      </c>
      <c r="F115" s="22" t="e">
        <f>SUM(#REF!)</f>
        <v>#REF!</v>
      </c>
      <c r="G115" s="22" t="e">
        <f>SUM(#REF!)</f>
        <v>#REF!</v>
      </c>
      <c r="H115" s="22" t="e">
        <f>SUM(#REF!)</f>
        <v>#REF!</v>
      </c>
      <c r="I115" s="22" t="e">
        <f>SUM(#REF!)</f>
        <v>#REF!</v>
      </c>
      <c r="J115" s="22" t="e">
        <f>SUM(#REF!)</f>
        <v>#REF!</v>
      </c>
      <c r="K115" s="22" t="e">
        <f>SUM(#REF!)</f>
        <v>#REF!</v>
      </c>
      <c r="L115" s="22" t="e">
        <f>SUM(#REF!)</f>
        <v>#REF!</v>
      </c>
      <c r="M115" s="22">
        <f>SUM(E115:E133)</f>
        <v>1</v>
      </c>
      <c r="N115" s="22" t="e">
        <f>SUM(#REF!)</f>
        <v>#REF!</v>
      </c>
      <c r="Q115" s="42">
        <f t="shared" si="1"/>
        <v>0</v>
      </c>
      <c r="R115" s="125">
        <f>SUM(Q115:Q133)</f>
        <v>1</v>
      </c>
    </row>
    <row r="116" spans="2:18" x14ac:dyDescent="0.25">
      <c r="B116" s="53"/>
      <c r="C116" s="18" t="s">
        <v>101</v>
      </c>
      <c r="D116" s="43" t="s">
        <v>103</v>
      </c>
      <c r="E116" s="67">
        <f>COUNTIFS('TOTAL KONTAK ERAT'!$F:$F,"Kalicilik")</f>
        <v>0</v>
      </c>
      <c r="F116" s="22"/>
      <c r="G116" s="23"/>
      <c r="H116" s="23"/>
      <c r="I116" s="23"/>
      <c r="J116" s="23"/>
      <c r="K116" s="23"/>
      <c r="L116" s="24"/>
      <c r="M116" s="24"/>
      <c r="N116" s="24"/>
      <c r="Q116" s="42">
        <f t="shared" si="1"/>
        <v>0</v>
      </c>
      <c r="R116" s="8"/>
    </row>
    <row r="117" spans="2:18" x14ac:dyDescent="0.25">
      <c r="B117" s="53"/>
      <c r="C117" s="18" t="s">
        <v>101</v>
      </c>
      <c r="D117" s="43" t="s">
        <v>104</v>
      </c>
      <c r="E117" s="67">
        <f>COUNTIFS('TOTAL KONTAK ERAT'!$F:$F,"Kadilangu")</f>
        <v>0</v>
      </c>
      <c r="F117" s="22"/>
      <c r="G117" s="23"/>
      <c r="H117" s="23"/>
      <c r="I117" s="23"/>
      <c r="J117" s="23"/>
      <c r="K117" s="23"/>
      <c r="L117" s="24"/>
      <c r="M117" s="24"/>
      <c r="N117" s="24"/>
      <c r="Q117" s="42">
        <f t="shared" si="1"/>
        <v>0</v>
      </c>
      <c r="R117" s="8"/>
    </row>
    <row r="118" spans="2:18" x14ac:dyDescent="0.25">
      <c r="B118" s="53"/>
      <c r="C118" s="18" t="s">
        <v>101</v>
      </c>
      <c r="D118" s="43" t="s">
        <v>105</v>
      </c>
      <c r="E118" s="67">
        <f>COUNTIFS('TOTAL KONTAK ERAT'!$F:$F,"Singorejo")</f>
        <v>0</v>
      </c>
      <c r="F118" s="22"/>
      <c r="G118" s="23"/>
      <c r="H118" s="23"/>
      <c r="I118" s="23"/>
      <c r="J118" s="23"/>
      <c r="K118" s="23"/>
      <c r="L118" s="24"/>
      <c r="M118" s="24"/>
      <c r="N118" s="24"/>
      <c r="Q118" s="42">
        <f t="shared" si="1"/>
        <v>0</v>
      </c>
      <c r="R118" s="8"/>
    </row>
    <row r="119" spans="2:18" x14ac:dyDescent="0.25">
      <c r="B119" s="53"/>
      <c r="C119" s="18" t="s">
        <v>101</v>
      </c>
      <c r="D119" s="43" t="s">
        <v>106</v>
      </c>
      <c r="E119" s="67">
        <f>COUNTIFS('TOTAL KONTAK ERAT'!$F:$F,"Karangmlati")</f>
        <v>0</v>
      </c>
      <c r="F119" s="22"/>
      <c r="G119" s="23"/>
      <c r="H119" s="23"/>
      <c r="I119" s="23"/>
      <c r="J119" s="23"/>
      <c r="K119" s="23"/>
      <c r="L119" s="24"/>
      <c r="M119" s="24"/>
      <c r="N119" s="24"/>
      <c r="Q119" s="42">
        <f t="shared" si="1"/>
        <v>0</v>
      </c>
      <c r="R119" s="8"/>
    </row>
    <row r="120" spans="2:18" x14ac:dyDescent="0.25">
      <c r="B120" s="53"/>
      <c r="C120" s="18" t="s">
        <v>101</v>
      </c>
      <c r="D120" s="43" t="s">
        <v>107</v>
      </c>
      <c r="E120" s="67">
        <f>COUNTIFS('TOTAL KONTAK ERAT'!$F:$F,"Bintoro")</f>
        <v>1</v>
      </c>
      <c r="F120" s="22"/>
      <c r="G120" s="23"/>
      <c r="H120" s="23"/>
      <c r="I120" s="23"/>
      <c r="J120" s="23"/>
      <c r="K120" s="23"/>
      <c r="L120" s="24"/>
      <c r="M120" s="24"/>
      <c r="N120" s="24"/>
      <c r="Q120" s="42">
        <f t="shared" si="1"/>
        <v>1</v>
      </c>
      <c r="R120" s="8"/>
    </row>
    <row r="121" spans="2:18" x14ac:dyDescent="0.25">
      <c r="B121" s="53"/>
      <c r="C121" s="18" t="s">
        <v>101</v>
      </c>
      <c r="D121" s="43" t="s">
        <v>108</v>
      </c>
      <c r="E121" s="67">
        <f>COUNTIFS('TOTAL KONTAK ERAT'!$F:$F,"Turirejo")</f>
        <v>0</v>
      </c>
      <c r="F121" s="22"/>
      <c r="G121" s="23"/>
      <c r="H121" s="23"/>
      <c r="I121" s="23"/>
      <c r="J121" s="23"/>
      <c r="K121" s="23"/>
      <c r="L121" s="24"/>
      <c r="M121" s="24"/>
      <c r="N121" s="24"/>
      <c r="Q121" s="42">
        <f t="shared" si="1"/>
        <v>0</v>
      </c>
      <c r="R121" s="8"/>
    </row>
    <row r="122" spans="2:18" s="14" customFormat="1" x14ac:dyDescent="0.25">
      <c r="B122" s="58"/>
      <c r="C122" s="59" t="s">
        <v>101</v>
      </c>
      <c r="D122" s="43" t="s">
        <v>56</v>
      </c>
      <c r="E122" s="67">
        <f>COUNTIFS('TOTAL KONTAK ERAT'!$F:$F,"Kedondong",'TOTAL KONTAK ERAT'!$E:$E,"demak")</f>
        <v>0</v>
      </c>
      <c r="F122" s="28"/>
      <c r="G122" s="29"/>
      <c r="H122" s="29"/>
      <c r="I122" s="29"/>
      <c r="J122" s="29"/>
      <c r="K122" s="29"/>
      <c r="L122" s="30"/>
      <c r="M122" s="30"/>
      <c r="N122" s="30"/>
      <c r="Q122" s="42">
        <f t="shared" si="1"/>
        <v>0</v>
      </c>
      <c r="R122" s="43"/>
    </row>
    <row r="123" spans="2:18" x14ac:dyDescent="0.25">
      <c r="B123" s="53"/>
      <c r="C123" s="18" t="s">
        <v>101</v>
      </c>
      <c r="D123" s="60" t="s">
        <v>109</v>
      </c>
      <c r="E123" s="67">
        <f>COUNTIFS('TOTAL KONTAK ERAT'!$F:$F,"Bango")</f>
        <v>0</v>
      </c>
      <c r="F123" s="22"/>
      <c r="G123" s="23"/>
      <c r="H123" s="23"/>
      <c r="I123" s="23"/>
      <c r="J123" s="23"/>
      <c r="K123" s="23"/>
      <c r="L123" s="24"/>
      <c r="M123" s="24"/>
      <c r="N123" s="24"/>
      <c r="Q123" s="42">
        <f t="shared" si="1"/>
        <v>0</v>
      </c>
      <c r="R123" s="8"/>
    </row>
    <row r="124" spans="2:18" x14ac:dyDescent="0.25">
      <c r="B124" s="53"/>
      <c r="C124" s="18" t="s">
        <v>101</v>
      </c>
      <c r="D124" s="43" t="s">
        <v>110</v>
      </c>
      <c r="E124" s="67">
        <f>COUNTIFS('TOTAL KONTAK ERAT'!$F:$F,"Raji")</f>
        <v>0</v>
      </c>
      <c r="F124" s="22"/>
      <c r="G124" s="23"/>
      <c r="H124" s="23"/>
      <c r="I124" s="23"/>
      <c r="J124" s="23"/>
      <c r="K124" s="23"/>
      <c r="L124" s="24"/>
      <c r="M124" s="24"/>
      <c r="N124" s="24"/>
      <c r="Q124" s="42">
        <f t="shared" si="1"/>
        <v>0</v>
      </c>
      <c r="R124" s="8"/>
    </row>
    <row r="125" spans="2:18" x14ac:dyDescent="0.25">
      <c r="B125" s="53"/>
      <c r="C125" s="18" t="s">
        <v>101</v>
      </c>
      <c r="D125" s="43" t="s">
        <v>111</v>
      </c>
      <c r="E125" s="67">
        <f>COUNTIFS('TOTAL KONTAK ERAT'!$F:$F,"Mulyorejo")</f>
        <v>0</v>
      </c>
      <c r="F125" s="22"/>
      <c r="G125" s="23"/>
      <c r="H125" s="23"/>
      <c r="I125" s="23"/>
      <c r="J125" s="23"/>
      <c r="K125" s="23"/>
      <c r="L125" s="24"/>
      <c r="M125" s="24"/>
      <c r="N125" s="24"/>
      <c r="Q125" s="42">
        <f t="shared" si="1"/>
        <v>0</v>
      </c>
      <c r="R125" s="8"/>
    </row>
    <row r="126" spans="2:18" x14ac:dyDescent="0.25">
      <c r="B126" s="53"/>
      <c r="C126" s="18" t="s">
        <v>101</v>
      </c>
      <c r="D126" s="43" t="s">
        <v>112</v>
      </c>
      <c r="E126" s="67">
        <f>COUNTIFS('TOTAL KONTAK ERAT'!$F:$F,"Sedo")</f>
        <v>0</v>
      </c>
      <c r="F126" s="22"/>
      <c r="G126" s="23"/>
      <c r="H126" s="23"/>
      <c r="I126" s="23"/>
      <c r="J126" s="23"/>
      <c r="K126" s="23"/>
      <c r="L126" s="24"/>
      <c r="M126" s="24"/>
      <c r="N126" s="24"/>
      <c r="Q126" s="42">
        <f t="shared" si="1"/>
        <v>0</v>
      </c>
      <c r="R126" s="8"/>
    </row>
    <row r="127" spans="2:18" x14ac:dyDescent="0.25">
      <c r="B127" s="53"/>
      <c r="C127" s="18" t="s">
        <v>101</v>
      </c>
      <c r="D127" s="60" t="s">
        <v>113</v>
      </c>
      <c r="E127" s="67">
        <f>COUNTIFS('TOTAL KONTAK ERAT'!$F:$F,"Bolo")</f>
        <v>0</v>
      </c>
      <c r="F127" s="22"/>
      <c r="G127" s="23"/>
      <c r="H127" s="23"/>
      <c r="I127" s="23"/>
      <c r="J127" s="23"/>
      <c r="K127" s="23"/>
      <c r="L127" s="24"/>
      <c r="M127" s="24"/>
      <c r="N127" s="24"/>
      <c r="Q127" s="42">
        <f t="shared" si="1"/>
        <v>0</v>
      </c>
      <c r="R127" s="8"/>
    </row>
    <row r="128" spans="2:18" x14ac:dyDescent="0.25">
      <c r="B128" s="53"/>
      <c r="C128" s="18" t="s">
        <v>101</v>
      </c>
      <c r="D128" s="43" t="s">
        <v>114</v>
      </c>
      <c r="E128" s="67">
        <f>COUNTIFS('TOTAL KONTAK ERAT'!$F:$F,"Katonsari")</f>
        <v>0</v>
      </c>
      <c r="F128" s="22"/>
      <c r="G128" s="23"/>
      <c r="H128" s="23"/>
      <c r="I128" s="23"/>
      <c r="J128" s="23"/>
      <c r="K128" s="23"/>
      <c r="L128" s="24"/>
      <c r="M128" s="24"/>
      <c r="N128" s="24"/>
      <c r="Q128" s="42">
        <f t="shared" si="1"/>
        <v>0</v>
      </c>
      <c r="R128" s="8"/>
    </row>
    <row r="129" spans="2:18" x14ac:dyDescent="0.25">
      <c r="B129" s="53"/>
      <c r="C129" s="18" t="s">
        <v>101</v>
      </c>
      <c r="D129" s="43" t="s">
        <v>115</v>
      </c>
      <c r="E129" s="67">
        <f>COUNTIFS('TOTAL KONTAK ERAT'!$F:$F,"Kalikondang")</f>
        <v>0</v>
      </c>
      <c r="F129" s="22"/>
      <c r="G129" s="23"/>
      <c r="H129" s="23"/>
      <c r="I129" s="23"/>
      <c r="J129" s="23"/>
      <c r="K129" s="23"/>
      <c r="L129" s="24"/>
      <c r="M129" s="24"/>
      <c r="N129" s="24"/>
      <c r="Q129" s="42">
        <f t="shared" si="1"/>
        <v>0</v>
      </c>
      <c r="R129" s="8"/>
    </row>
    <row r="130" spans="2:18" x14ac:dyDescent="0.25">
      <c r="B130" s="53"/>
      <c r="C130" s="18" t="s">
        <v>101</v>
      </c>
      <c r="D130" s="43" t="s">
        <v>116</v>
      </c>
      <c r="E130" s="67">
        <f>COUNTIFS('TOTAL KONTAK ERAT'!$F:$F,"Cabean")</f>
        <v>0</v>
      </c>
      <c r="F130" s="22"/>
      <c r="G130" s="23"/>
      <c r="H130" s="23"/>
      <c r="I130" s="23"/>
      <c r="J130" s="23"/>
      <c r="K130" s="23"/>
      <c r="L130" s="24"/>
      <c r="M130" s="24"/>
      <c r="N130" s="24"/>
      <c r="Q130" s="42">
        <f t="shared" si="1"/>
        <v>0</v>
      </c>
      <c r="R130" s="8"/>
    </row>
    <row r="131" spans="2:18" x14ac:dyDescent="0.25">
      <c r="B131" s="53"/>
      <c r="C131" s="18" t="s">
        <v>101</v>
      </c>
      <c r="D131" s="43" t="s">
        <v>117</v>
      </c>
      <c r="E131" s="67">
        <f>COUNTIFS('TOTAL KONTAK ERAT'!$F:$F,"Tempuran")</f>
        <v>0</v>
      </c>
      <c r="F131" s="22"/>
      <c r="G131" s="23"/>
      <c r="H131" s="23"/>
      <c r="I131" s="23"/>
      <c r="J131" s="23"/>
      <c r="K131" s="23"/>
      <c r="L131" s="24"/>
      <c r="M131" s="24"/>
      <c r="N131" s="24"/>
      <c r="Q131" s="42">
        <f t="shared" si="1"/>
        <v>0</v>
      </c>
      <c r="R131" s="8"/>
    </row>
    <row r="132" spans="2:18" x14ac:dyDescent="0.25">
      <c r="B132" s="53"/>
      <c r="C132" s="18" t="s">
        <v>101</v>
      </c>
      <c r="D132" s="43" t="s">
        <v>118</v>
      </c>
      <c r="E132" s="67">
        <f>COUNTIFS('TOTAL KONTAK ERAT'!$F:$F,"Donorojo")</f>
        <v>0</v>
      </c>
      <c r="F132" s="22"/>
      <c r="G132" s="23"/>
      <c r="H132" s="23"/>
      <c r="I132" s="23"/>
      <c r="J132" s="23"/>
      <c r="K132" s="23"/>
      <c r="L132" s="24"/>
      <c r="M132" s="24"/>
      <c r="N132" s="24"/>
      <c r="Q132" s="42">
        <f t="shared" si="1"/>
        <v>0</v>
      </c>
      <c r="R132" s="8"/>
    </row>
    <row r="133" spans="2:18" x14ac:dyDescent="0.25">
      <c r="B133" s="53"/>
      <c r="C133" s="18" t="s">
        <v>101</v>
      </c>
      <c r="D133" s="43" t="s">
        <v>119</v>
      </c>
      <c r="E133" s="67">
        <f>COUNTIFS('TOTAL KONTAK ERAT'!$F:$F,"Mangunjiwan")</f>
        <v>0</v>
      </c>
      <c r="F133" s="22"/>
      <c r="G133" s="23"/>
      <c r="H133" s="23"/>
      <c r="I133" s="23"/>
      <c r="J133" s="23"/>
      <c r="K133" s="23"/>
      <c r="L133" s="24"/>
      <c r="M133" s="24"/>
      <c r="N133" s="24"/>
      <c r="Q133" s="42">
        <f t="shared" si="1"/>
        <v>0</v>
      </c>
      <c r="R133" s="8"/>
    </row>
    <row r="134" spans="2:18" x14ac:dyDescent="0.25">
      <c r="B134" s="53">
        <v>8</v>
      </c>
      <c r="C134" s="18" t="s">
        <v>120</v>
      </c>
      <c r="D134" s="43" t="s">
        <v>121</v>
      </c>
      <c r="E134" s="67">
        <f>COUNTIFS('TOTAL KONTAK ERAT'!$F:$F,"Morodemak")</f>
        <v>0</v>
      </c>
      <c r="F134" s="22" t="e">
        <f>SUM(#REF!)</f>
        <v>#REF!</v>
      </c>
      <c r="G134" s="22" t="e">
        <f>SUM(#REF!)</f>
        <v>#REF!</v>
      </c>
      <c r="H134" s="22" t="e">
        <f>SUM(#REF!)</f>
        <v>#REF!</v>
      </c>
      <c r="I134" s="22" t="e">
        <f>SUM(#REF!)</f>
        <v>#REF!</v>
      </c>
      <c r="J134" s="22" t="e">
        <f>SUM(#REF!)</f>
        <v>#REF!</v>
      </c>
      <c r="K134" s="22" t="e">
        <f>SUM(#REF!)</f>
        <v>#REF!</v>
      </c>
      <c r="L134" s="22" t="e">
        <f>SUM(#REF!)</f>
        <v>#REF!</v>
      </c>
      <c r="M134" s="22">
        <f>SUM(E134:E154)</f>
        <v>0</v>
      </c>
      <c r="N134" s="22" t="e">
        <f>SUM(#REF!)</f>
        <v>#REF!</v>
      </c>
      <c r="Q134" s="42">
        <f t="shared" si="1"/>
        <v>0</v>
      </c>
      <c r="R134" s="125">
        <f>SUM(Q134:Q154)</f>
        <v>0</v>
      </c>
    </row>
    <row r="135" spans="2:18" x14ac:dyDescent="0.25">
      <c r="B135" s="53"/>
      <c r="C135" s="18" t="s">
        <v>120</v>
      </c>
      <c r="D135" s="43" t="s">
        <v>122</v>
      </c>
      <c r="E135" s="67">
        <f>COUNTIFS('TOTAL KONTAK ERAT'!$F:$F,"Purworejo")</f>
        <v>0</v>
      </c>
      <c r="F135" s="22"/>
      <c r="G135" s="23"/>
      <c r="H135" s="23"/>
      <c r="I135" s="23"/>
      <c r="J135" s="23"/>
      <c r="K135" s="23"/>
      <c r="L135" s="24"/>
      <c r="M135" s="24"/>
      <c r="N135" s="24"/>
      <c r="Q135" s="42">
        <f t="shared" si="1"/>
        <v>0</v>
      </c>
      <c r="R135" s="8"/>
    </row>
    <row r="136" spans="2:18" x14ac:dyDescent="0.25">
      <c r="B136" s="53"/>
      <c r="C136" s="18" t="s">
        <v>120</v>
      </c>
      <c r="D136" s="43" t="s">
        <v>8</v>
      </c>
      <c r="E136" s="67">
        <f>COUNTIFS('TOTAL KONTAK ERAT'!$F:$F,"Sumberejo",'TOTAL KONTAK ERAT'!$E:$E,"bonang")</f>
        <v>0</v>
      </c>
      <c r="F136" s="22"/>
      <c r="G136" s="23"/>
      <c r="H136" s="23"/>
      <c r="I136" s="23"/>
      <c r="J136" s="23"/>
      <c r="K136" s="23"/>
      <c r="L136" s="24"/>
      <c r="M136" s="24"/>
      <c r="N136" s="24"/>
      <c r="Q136" s="42">
        <f t="shared" ref="Q136:Q199" si="2">SUM(E136:E136)</f>
        <v>0</v>
      </c>
      <c r="R136" s="8"/>
    </row>
    <row r="137" spans="2:18" x14ac:dyDescent="0.25">
      <c r="B137" s="53"/>
      <c r="C137" s="18" t="s">
        <v>120</v>
      </c>
      <c r="D137" s="43" t="s">
        <v>123</v>
      </c>
      <c r="E137" s="67">
        <f>COUNTIFS('TOTAL KONTAK ERAT'!$F:$F,"Gebangarum")</f>
        <v>0</v>
      </c>
      <c r="F137" s="22"/>
      <c r="G137" s="23"/>
      <c r="H137" s="23"/>
      <c r="I137" s="23"/>
      <c r="J137" s="23"/>
      <c r="K137" s="23"/>
      <c r="L137" s="24"/>
      <c r="M137" s="24"/>
      <c r="N137" s="24"/>
      <c r="Q137" s="42">
        <f t="shared" si="2"/>
        <v>0</v>
      </c>
      <c r="R137" s="8"/>
    </row>
    <row r="138" spans="2:18" x14ac:dyDescent="0.25">
      <c r="B138" s="53"/>
      <c r="C138" s="18" t="s">
        <v>120</v>
      </c>
      <c r="D138" s="43" t="s">
        <v>124</v>
      </c>
      <c r="E138" s="67">
        <f>COUNTIFS('TOTAL KONTAK ERAT'!$F:$F,"Gebang")</f>
        <v>0</v>
      </c>
      <c r="F138" s="22"/>
      <c r="G138" s="23"/>
      <c r="H138" s="23"/>
      <c r="I138" s="23"/>
      <c r="J138" s="23"/>
      <c r="K138" s="23"/>
      <c r="L138" s="24"/>
      <c r="M138" s="24"/>
      <c r="N138" s="24"/>
      <c r="Q138" s="42">
        <f t="shared" si="2"/>
        <v>0</v>
      </c>
      <c r="R138" s="8"/>
    </row>
    <row r="139" spans="2:18" x14ac:dyDescent="0.25">
      <c r="B139" s="53"/>
      <c r="C139" s="18" t="s">
        <v>120</v>
      </c>
      <c r="D139" s="43" t="s">
        <v>125</v>
      </c>
      <c r="E139" s="67">
        <f>COUNTIFS('TOTAL KONTAK ERAT'!$F:$F,"Kembangan")</f>
        <v>0</v>
      </c>
      <c r="F139" s="22"/>
      <c r="G139" s="23"/>
      <c r="H139" s="23"/>
      <c r="I139" s="23"/>
      <c r="J139" s="23"/>
      <c r="K139" s="23"/>
      <c r="L139" s="24"/>
      <c r="M139" s="24"/>
      <c r="N139" s="24"/>
      <c r="Q139" s="42">
        <f t="shared" si="2"/>
        <v>0</v>
      </c>
      <c r="R139" s="8"/>
    </row>
    <row r="140" spans="2:18" x14ac:dyDescent="0.25">
      <c r="B140" s="53"/>
      <c r="C140" s="18" t="s">
        <v>120</v>
      </c>
      <c r="D140" s="43" t="s">
        <v>53</v>
      </c>
      <c r="E140" s="67">
        <f>COUNTIFS('TOTAL KONTAK ERAT'!$F:$F,"Karangrejo",'TOTAL KONTAK ERAT'!$E:$E,"bonang")</f>
        <v>0</v>
      </c>
      <c r="F140" s="22"/>
      <c r="G140" s="23"/>
      <c r="H140" s="23"/>
      <c r="I140" s="23"/>
      <c r="J140" s="23"/>
      <c r="K140" s="23"/>
      <c r="L140" s="24"/>
      <c r="M140" s="24"/>
      <c r="N140" s="24"/>
      <c r="Q140" s="42">
        <f t="shared" si="2"/>
        <v>0</v>
      </c>
      <c r="R140" s="8"/>
    </row>
    <row r="141" spans="2:18" x14ac:dyDescent="0.25">
      <c r="B141" s="53"/>
      <c r="C141" s="18" t="s">
        <v>120</v>
      </c>
      <c r="D141" s="43" t="s">
        <v>126</v>
      </c>
      <c r="E141" s="67">
        <f>COUNTIFS('TOTAL KONTAK ERAT'!$F:$F,"Sukodono")</f>
        <v>0</v>
      </c>
      <c r="F141" s="22"/>
      <c r="G141" s="23"/>
      <c r="H141" s="23"/>
      <c r="I141" s="23"/>
      <c r="J141" s="23"/>
      <c r="K141" s="23"/>
      <c r="L141" s="24"/>
      <c r="M141" s="24"/>
      <c r="N141" s="24"/>
      <c r="Q141" s="42">
        <f t="shared" si="2"/>
        <v>0</v>
      </c>
      <c r="R141" s="8"/>
    </row>
    <row r="142" spans="2:18" x14ac:dyDescent="0.25">
      <c r="B142" s="53"/>
      <c r="C142" s="18" t="s">
        <v>120</v>
      </c>
      <c r="D142" s="43" t="s">
        <v>127</v>
      </c>
      <c r="E142" s="67">
        <f>COUNTIFS('TOTAL KONTAK ERAT'!$F:$F,"Tlogoboyo")</f>
        <v>0</v>
      </c>
      <c r="F142" s="22"/>
      <c r="G142" s="23"/>
      <c r="H142" s="23"/>
      <c r="I142" s="23"/>
      <c r="J142" s="23"/>
      <c r="K142" s="23"/>
      <c r="L142" s="24"/>
      <c r="M142" s="24"/>
      <c r="N142" s="24"/>
      <c r="Q142" s="42">
        <f t="shared" si="2"/>
        <v>0</v>
      </c>
      <c r="R142" s="8"/>
    </row>
    <row r="143" spans="2:18" x14ac:dyDescent="0.25">
      <c r="B143" s="53"/>
      <c r="C143" s="18" t="s">
        <v>120</v>
      </c>
      <c r="D143" s="43" t="s">
        <v>128</v>
      </c>
      <c r="E143" s="67">
        <f>COUNTIFS('TOTAL KONTAK ERAT'!$F:$F,"Margolinduk")</f>
        <v>0</v>
      </c>
      <c r="F143" s="22"/>
      <c r="G143" s="23"/>
      <c r="H143" s="23"/>
      <c r="I143" s="23"/>
      <c r="J143" s="23"/>
      <c r="K143" s="23"/>
      <c r="L143" s="24"/>
      <c r="M143" s="24"/>
      <c r="N143" s="24"/>
      <c r="Q143" s="42">
        <f t="shared" si="2"/>
        <v>0</v>
      </c>
      <c r="R143" s="8"/>
    </row>
    <row r="144" spans="2:18" x14ac:dyDescent="0.25">
      <c r="B144" s="53"/>
      <c r="C144" s="18" t="s">
        <v>120</v>
      </c>
      <c r="D144" s="43" t="s">
        <v>129</v>
      </c>
      <c r="E144" s="67">
        <f>COUNTIFS('TOTAL KONTAK ERAT'!$F:$F,"Tridonorejo")</f>
        <v>0</v>
      </c>
      <c r="F144" s="22"/>
      <c r="G144" s="23"/>
      <c r="H144" s="23"/>
      <c r="I144" s="23"/>
      <c r="J144" s="23"/>
      <c r="K144" s="23"/>
      <c r="L144" s="24"/>
      <c r="M144" s="24"/>
      <c r="N144" s="24"/>
      <c r="Q144" s="42">
        <f t="shared" si="2"/>
        <v>0</v>
      </c>
      <c r="R144" s="8"/>
    </row>
    <row r="145" spans="2:18" x14ac:dyDescent="0.25">
      <c r="B145" s="53"/>
      <c r="C145" s="18" t="s">
        <v>120</v>
      </c>
      <c r="D145" s="43" t="s">
        <v>130</v>
      </c>
      <c r="E145" s="67">
        <f>COUNTIFS('TOTAL KONTAK ERAT'!$F:$F,"Wonosari")</f>
        <v>0</v>
      </c>
      <c r="F145" s="22"/>
      <c r="G145" s="23"/>
      <c r="H145" s="23"/>
      <c r="I145" s="23"/>
      <c r="J145" s="23"/>
      <c r="K145" s="23"/>
      <c r="L145" s="24"/>
      <c r="M145" s="24"/>
      <c r="N145" s="24"/>
      <c r="Q145" s="42">
        <f t="shared" si="2"/>
        <v>0</v>
      </c>
      <c r="R145" s="8"/>
    </row>
    <row r="146" spans="2:18" x14ac:dyDescent="0.25">
      <c r="B146" s="53"/>
      <c r="C146" s="18" t="s">
        <v>120</v>
      </c>
      <c r="D146" s="43" t="s">
        <v>131</v>
      </c>
      <c r="E146" s="67">
        <f>COUNTIFS('TOTAL KONTAK ERAT'!$F:$F,"Jatirogo")</f>
        <v>0</v>
      </c>
      <c r="F146" s="22"/>
      <c r="G146" s="23"/>
      <c r="H146" s="23"/>
      <c r="I146" s="23"/>
      <c r="J146" s="23"/>
      <c r="K146" s="23"/>
      <c r="L146" s="24"/>
      <c r="M146" s="24"/>
      <c r="N146" s="24"/>
      <c r="Q146" s="42">
        <f t="shared" si="2"/>
        <v>0</v>
      </c>
      <c r="R146" s="8"/>
    </row>
    <row r="147" spans="2:18" x14ac:dyDescent="0.25">
      <c r="B147" s="53"/>
      <c r="C147" s="18" t="s">
        <v>120</v>
      </c>
      <c r="D147" s="43" t="s">
        <v>132</v>
      </c>
      <c r="E147" s="67">
        <f>COUNTIFS('TOTAL KONTAK ERAT'!$F:$F,"Poncoharjo")</f>
        <v>0</v>
      </c>
      <c r="F147" s="22"/>
      <c r="G147" s="23"/>
      <c r="H147" s="23"/>
      <c r="I147" s="23"/>
      <c r="J147" s="23"/>
      <c r="K147" s="23"/>
      <c r="L147" s="24"/>
      <c r="M147" s="24"/>
      <c r="N147" s="24"/>
      <c r="Q147" s="42">
        <f t="shared" si="2"/>
        <v>0</v>
      </c>
      <c r="R147" s="8"/>
    </row>
    <row r="148" spans="2:18" x14ac:dyDescent="0.25">
      <c r="B148" s="53"/>
      <c r="C148" s="18" t="s">
        <v>120</v>
      </c>
      <c r="D148" s="43" t="s">
        <v>133</v>
      </c>
      <c r="E148" s="67">
        <f>COUNTIFS('TOTAL KONTAK ERAT'!$F:$F,"Jali")</f>
        <v>0</v>
      </c>
      <c r="F148" s="22"/>
      <c r="G148" s="23"/>
      <c r="H148" s="23"/>
      <c r="I148" s="23"/>
      <c r="J148" s="23"/>
      <c r="K148" s="23"/>
      <c r="L148" s="24"/>
      <c r="M148" s="24"/>
      <c r="N148" s="24"/>
      <c r="Q148" s="42">
        <f t="shared" si="2"/>
        <v>0</v>
      </c>
      <c r="R148" s="8"/>
    </row>
    <row r="149" spans="2:18" x14ac:dyDescent="0.25">
      <c r="B149" s="53"/>
      <c r="C149" s="18" t="s">
        <v>120</v>
      </c>
      <c r="D149" s="43" t="s">
        <v>134</v>
      </c>
      <c r="E149" s="67">
        <f>COUNTIFS('TOTAL KONTAK ERAT'!$F:$F,"Krajanbogo")</f>
        <v>0</v>
      </c>
      <c r="F149" s="22"/>
      <c r="G149" s="23"/>
      <c r="H149" s="23"/>
      <c r="I149" s="23"/>
      <c r="J149" s="23"/>
      <c r="K149" s="23"/>
      <c r="L149" s="24"/>
      <c r="M149" s="24"/>
      <c r="N149" s="24"/>
      <c r="Q149" s="42">
        <f t="shared" si="2"/>
        <v>0</v>
      </c>
      <c r="R149" s="8"/>
    </row>
    <row r="150" spans="2:18" x14ac:dyDescent="0.25">
      <c r="B150" s="53"/>
      <c r="C150" s="18" t="s">
        <v>120</v>
      </c>
      <c r="D150" s="43" t="s">
        <v>135</v>
      </c>
      <c r="E150" s="67">
        <f>COUNTIFS('TOTAL KONTAK ERAT'!$F:$F,"Serangan")</f>
        <v>0</v>
      </c>
      <c r="F150" s="22"/>
      <c r="G150" s="23"/>
      <c r="H150" s="23"/>
      <c r="I150" s="23"/>
      <c r="J150" s="23"/>
      <c r="K150" s="23"/>
      <c r="L150" s="24"/>
      <c r="M150" s="24"/>
      <c r="N150" s="24"/>
      <c r="Q150" s="42">
        <f t="shared" si="2"/>
        <v>0</v>
      </c>
      <c r="R150" s="8"/>
    </row>
    <row r="151" spans="2:18" x14ac:dyDescent="0.25">
      <c r="B151" s="53"/>
      <c r="C151" s="18" t="s">
        <v>120</v>
      </c>
      <c r="D151" s="60" t="s">
        <v>136</v>
      </c>
      <c r="E151" s="67">
        <f>COUNTIFS('TOTAL KONTAK ERAT'!$F:$F,"Betahwalang")</f>
        <v>0</v>
      </c>
      <c r="F151" s="22"/>
      <c r="G151" s="23"/>
      <c r="H151" s="23"/>
      <c r="I151" s="23"/>
      <c r="J151" s="23"/>
      <c r="K151" s="23"/>
      <c r="L151" s="24"/>
      <c r="M151" s="24"/>
      <c r="N151" s="24"/>
      <c r="Q151" s="42">
        <f t="shared" si="2"/>
        <v>0</v>
      </c>
      <c r="R151" s="8"/>
    </row>
    <row r="152" spans="2:18" x14ac:dyDescent="0.25">
      <c r="B152" s="53"/>
      <c r="C152" s="18" t="s">
        <v>120</v>
      </c>
      <c r="D152" s="43" t="s">
        <v>137</v>
      </c>
      <c r="E152" s="67">
        <f>COUNTIFS('TOTAL KONTAK ERAT'!$F:$F,"Jatimulyo")</f>
        <v>0</v>
      </c>
      <c r="F152" s="22"/>
      <c r="G152" s="23"/>
      <c r="H152" s="23"/>
      <c r="I152" s="23"/>
      <c r="J152" s="23"/>
      <c r="K152" s="23"/>
      <c r="L152" s="24"/>
      <c r="M152" s="24"/>
      <c r="N152" s="24"/>
      <c r="Q152" s="42">
        <f t="shared" si="2"/>
        <v>0</v>
      </c>
      <c r="R152" s="8"/>
    </row>
    <row r="153" spans="2:18" x14ac:dyDescent="0.25">
      <c r="B153" s="53"/>
      <c r="C153" s="18" t="s">
        <v>120</v>
      </c>
      <c r="D153" s="43" t="s">
        <v>138</v>
      </c>
      <c r="E153" s="67">
        <f>COUNTIFS('TOTAL KONTAK ERAT'!$F:$F,"Weding")</f>
        <v>0</v>
      </c>
      <c r="F153" s="22"/>
      <c r="G153" s="23"/>
      <c r="H153" s="23"/>
      <c r="I153" s="23"/>
      <c r="J153" s="23"/>
      <c r="K153" s="23"/>
      <c r="L153" s="24"/>
      <c r="M153" s="24"/>
      <c r="N153" s="24"/>
      <c r="Q153" s="42">
        <f t="shared" si="2"/>
        <v>0</v>
      </c>
      <c r="R153" s="8"/>
    </row>
    <row r="154" spans="2:18" x14ac:dyDescent="0.25">
      <c r="B154" s="53"/>
      <c r="C154" s="18" t="s">
        <v>120</v>
      </c>
      <c r="D154" s="43" t="s">
        <v>139</v>
      </c>
      <c r="E154" s="67">
        <f>COUNTIFS('TOTAL KONTAK ERAT'!$F:$F,"Bonangrejo")</f>
        <v>0</v>
      </c>
      <c r="F154" s="22"/>
      <c r="G154" s="23"/>
      <c r="H154" s="23"/>
      <c r="I154" s="23"/>
      <c r="J154" s="23"/>
      <c r="K154" s="23"/>
      <c r="L154" s="24"/>
      <c r="M154" s="24"/>
      <c r="N154" s="24"/>
      <c r="Q154" s="42">
        <f t="shared" si="2"/>
        <v>0</v>
      </c>
      <c r="R154" s="8"/>
    </row>
    <row r="155" spans="2:18" ht="15" customHeight="1" x14ac:dyDescent="0.25">
      <c r="B155" s="53">
        <v>9</v>
      </c>
      <c r="C155" s="18" t="s">
        <v>140</v>
      </c>
      <c r="D155" s="43" t="s">
        <v>141</v>
      </c>
      <c r="E155" s="67">
        <f>COUNTIFS('TOTAL KONTAK ERAT'!$F:$F,"Temuroso")</f>
        <v>0</v>
      </c>
      <c r="F155" s="22" t="e">
        <f>SUM(#REF!)</f>
        <v>#REF!</v>
      </c>
      <c r="G155" s="22" t="e">
        <f>SUM(#REF!)</f>
        <v>#REF!</v>
      </c>
      <c r="H155" s="22" t="e">
        <f>SUM(#REF!)</f>
        <v>#REF!</v>
      </c>
      <c r="I155" s="22" t="e">
        <f>SUM(#REF!)</f>
        <v>#REF!</v>
      </c>
      <c r="J155" s="22" t="e">
        <f>SUM(#REF!)</f>
        <v>#REF!</v>
      </c>
      <c r="K155" s="22" t="e">
        <f>SUM(#REF!)</f>
        <v>#REF!</v>
      </c>
      <c r="L155" s="22" t="e">
        <f>SUM(#REF!)</f>
        <v>#REF!</v>
      </c>
      <c r="M155" s="22">
        <f>SUM(E155:E174)</f>
        <v>1</v>
      </c>
      <c r="N155" s="22" t="e">
        <f>SUM(#REF!)</f>
        <v>#REF!</v>
      </c>
      <c r="Q155" s="42">
        <f t="shared" si="2"/>
        <v>0</v>
      </c>
      <c r="R155" s="125">
        <f>SUM(Q155:Q174)</f>
        <v>1</v>
      </c>
    </row>
    <row r="156" spans="2:18" ht="15" customHeight="1" x14ac:dyDescent="0.25">
      <c r="B156" s="53"/>
      <c r="C156" s="18" t="s">
        <v>140</v>
      </c>
      <c r="D156" s="43" t="s">
        <v>142</v>
      </c>
      <c r="E156" s="67">
        <f>COUNTIFS('TOTAL KONTAK ERAT'!$F:$F,"Turitempel")</f>
        <v>0</v>
      </c>
      <c r="F156" s="22"/>
      <c r="G156" s="23"/>
      <c r="H156" s="23"/>
      <c r="I156" s="23"/>
      <c r="J156" s="23"/>
      <c r="K156" s="23"/>
      <c r="L156" s="24"/>
      <c r="M156" s="24"/>
      <c r="N156" s="24"/>
      <c r="Q156" s="42">
        <f t="shared" si="2"/>
        <v>0</v>
      </c>
      <c r="R156" s="8"/>
    </row>
    <row r="157" spans="2:18" ht="15" customHeight="1" x14ac:dyDescent="0.25">
      <c r="B157" s="53"/>
      <c r="C157" s="18" t="s">
        <v>140</v>
      </c>
      <c r="D157" s="43" t="s">
        <v>143</v>
      </c>
      <c r="E157" s="67">
        <f>COUNTIFS('TOTAL KONTAK ERAT'!$F:$F,"Tlogoweru")</f>
        <v>0</v>
      </c>
      <c r="F157" s="22"/>
      <c r="G157" s="23"/>
      <c r="H157" s="23"/>
      <c r="I157" s="23"/>
      <c r="J157" s="23"/>
      <c r="K157" s="23"/>
      <c r="L157" s="24"/>
      <c r="M157" s="24"/>
      <c r="N157" s="24"/>
      <c r="Q157" s="42">
        <f t="shared" si="2"/>
        <v>0</v>
      </c>
      <c r="R157" s="8"/>
    </row>
    <row r="158" spans="2:18" ht="15" customHeight="1" x14ac:dyDescent="0.25">
      <c r="B158" s="53"/>
      <c r="C158" s="18" t="s">
        <v>140</v>
      </c>
      <c r="D158" s="43" t="s">
        <v>144</v>
      </c>
      <c r="E158" s="67">
        <f>COUNTIFS('TOTAL KONTAK ERAT'!$F:$F,"Trimulyo")</f>
        <v>0</v>
      </c>
      <c r="F158" s="22"/>
      <c r="G158" s="23"/>
      <c r="H158" s="23"/>
      <c r="I158" s="23"/>
      <c r="J158" s="23"/>
      <c r="K158" s="23"/>
      <c r="L158" s="24"/>
      <c r="M158" s="24"/>
      <c r="N158" s="24"/>
      <c r="Q158" s="42">
        <f t="shared" si="2"/>
        <v>0</v>
      </c>
      <c r="R158" s="8"/>
    </row>
    <row r="159" spans="2:18" ht="15" customHeight="1" x14ac:dyDescent="0.25">
      <c r="B159" s="53"/>
      <c r="C159" s="18" t="s">
        <v>140</v>
      </c>
      <c r="D159" s="43" t="s">
        <v>145</v>
      </c>
      <c r="E159" s="67">
        <f>COUNTIFS('TOTAL KONTAK ERAT'!$F:$F,"Bakalrejo")</f>
        <v>0</v>
      </c>
      <c r="F159" s="22"/>
      <c r="G159" s="23"/>
      <c r="H159" s="23"/>
      <c r="I159" s="23"/>
      <c r="J159" s="23"/>
      <c r="K159" s="23"/>
      <c r="L159" s="24"/>
      <c r="M159" s="24"/>
      <c r="N159" s="24"/>
      <c r="Q159" s="42">
        <f t="shared" si="2"/>
        <v>0</v>
      </c>
      <c r="R159" s="8"/>
    </row>
    <row r="160" spans="2:18" ht="15" customHeight="1" x14ac:dyDescent="0.25">
      <c r="B160" s="53"/>
      <c r="C160" s="18" t="s">
        <v>140</v>
      </c>
      <c r="D160" s="43" t="s">
        <v>50</v>
      </c>
      <c r="E160" s="67">
        <f>COUNTIFS('TOTAL KONTAK ERAT'!$F:$F,"Tlogorejo",'TOTAL KONTAK ERAT'!$E:$E,"guntur")</f>
        <v>0</v>
      </c>
      <c r="F160" s="22"/>
      <c r="G160" s="23"/>
      <c r="H160" s="23"/>
      <c r="I160" s="23"/>
      <c r="J160" s="23"/>
      <c r="K160" s="23"/>
      <c r="L160" s="24"/>
      <c r="M160" s="24"/>
      <c r="N160" s="24"/>
      <c r="Q160" s="42">
        <f t="shared" si="2"/>
        <v>0</v>
      </c>
      <c r="R160" s="8"/>
    </row>
    <row r="161" spans="2:18" ht="15" customHeight="1" x14ac:dyDescent="0.25">
      <c r="B161" s="53"/>
      <c r="C161" s="18" t="s">
        <v>140</v>
      </c>
      <c r="D161" s="43" t="s">
        <v>146</v>
      </c>
      <c r="E161" s="67">
        <f>COUNTIFS('TOTAL KONTAK ERAT'!$F:$F,"Bumiharjo")</f>
        <v>0</v>
      </c>
      <c r="F161" s="22"/>
      <c r="G161" s="23"/>
      <c r="H161" s="23"/>
      <c r="I161" s="23"/>
      <c r="J161" s="23"/>
      <c r="K161" s="23"/>
      <c r="L161" s="24"/>
      <c r="M161" s="24"/>
      <c r="N161" s="24"/>
      <c r="Q161" s="42">
        <f t="shared" si="2"/>
        <v>0</v>
      </c>
      <c r="R161" s="8"/>
    </row>
    <row r="162" spans="2:18" ht="15" customHeight="1" x14ac:dyDescent="0.25">
      <c r="B162" s="53"/>
      <c r="C162" s="18" t="s">
        <v>140</v>
      </c>
      <c r="D162" s="43" t="s">
        <v>147</v>
      </c>
      <c r="E162" s="67">
        <f>COUNTIFS('TOTAL KONTAK ERAT'!$F:$F,"Sidoharjo")</f>
        <v>0</v>
      </c>
      <c r="F162" s="22"/>
      <c r="G162" s="23"/>
      <c r="H162" s="23"/>
      <c r="I162" s="23"/>
      <c r="J162" s="23"/>
      <c r="K162" s="23"/>
      <c r="L162" s="24"/>
      <c r="M162" s="24"/>
      <c r="N162" s="24"/>
      <c r="Q162" s="42">
        <f t="shared" si="2"/>
        <v>0</v>
      </c>
      <c r="R162" s="8"/>
    </row>
    <row r="163" spans="2:18" ht="15" customHeight="1" x14ac:dyDescent="0.25">
      <c r="B163" s="53"/>
      <c r="C163" s="18" t="s">
        <v>140</v>
      </c>
      <c r="D163" s="43" t="s">
        <v>148</v>
      </c>
      <c r="E163" s="67">
        <f>COUNTIFS('TOTAL KONTAK ERAT'!$F:$F,"Bogosari")</f>
        <v>0</v>
      </c>
      <c r="F163" s="22"/>
      <c r="G163" s="23"/>
      <c r="H163" s="23"/>
      <c r="I163" s="23"/>
      <c r="J163" s="23"/>
      <c r="K163" s="23"/>
      <c r="L163" s="24"/>
      <c r="M163" s="24"/>
      <c r="N163" s="24"/>
      <c r="Q163" s="42">
        <f t="shared" si="2"/>
        <v>0</v>
      </c>
      <c r="R163" s="8"/>
    </row>
    <row r="164" spans="2:18" ht="15" customHeight="1" x14ac:dyDescent="0.25">
      <c r="B164" s="53"/>
      <c r="C164" s="18" t="s">
        <v>140</v>
      </c>
      <c r="D164" s="43" t="s">
        <v>149</v>
      </c>
      <c r="E164" s="67">
        <f>COUNTIFS('TOTAL KONTAK ERAT'!$F:$F,"Guntur")</f>
        <v>0</v>
      </c>
      <c r="F164" s="22"/>
      <c r="G164" s="23"/>
      <c r="H164" s="23"/>
      <c r="I164" s="23"/>
      <c r="J164" s="23"/>
      <c r="K164" s="23"/>
      <c r="L164" s="24"/>
      <c r="M164" s="24"/>
      <c r="N164" s="24"/>
      <c r="Q164" s="42">
        <f t="shared" si="2"/>
        <v>0</v>
      </c>
      <c r="R164" s="8"/>
    </row>
    <row r="165" spans="2:18" ht="15" customHeight="1" x14ac:dyDescent="0.25">
      <c r="B165" s="53"/>
      <c r="C165" s="18" t="s">
        <v>140</v>
      </c>
      <c r="D165" s="43" t="s">
        <v>150</v>
      </c>
      <c r="E165" s="67">
        <f>COUNTIFS('TOTAL KONTAK ERAT'!$F:$F,"Blerong")</f>
        <v>1</v>
      </c>
      <c r="F165" s="22"/>
      <c r="G165" s="23"/>
      <c r="H165" s="23"/>
      <c r="I165" s="23"/>
      <c r="J165" s="23"/>
      <c r="K165" s="23"/>
      <c r="L165" s="24"/>
      <c r="M165" s="24"/>
      <c r="N165" s="24"/>
      <c r="Q165" s="42">
        <f t="shared" si="2"/>
        <v>1</v>
      </c>
      <c r="R165" s="8"/>
    </row>
    <row r="166" spans="2:18" ht="15" customHeight="1" x14ac:dyDescent="0.25">
      <c r="B166" s="53"/>
      <c r="C166" s="18" t="s">
        <v>140</v>
      </c>
      <c r="D166" s="43" t="s">
        <v>151</v>
      </c>
      <c r="E166" s="67">
        <f>COUNTIFS('TOTAL KONTAK ERAT'!$F:$F,"Pamongan")</f>
        <v>0</v>
      </c>
      <c r="F166" s="22"/>
      <c r="G166" s="23"/>
      <c r="H166" s="23"/>
      <c r="I166" s="23"/>
      <c r="J166" s="23"/>
      <c r="K166" s="23"/>
      <c r="L166" s="24"/>
      <c r="M166" s="24"/>
      <c r="N166" s="24"/>
      <c r="Q166" s="42">
        <f t="shared" si="2"/>
        <v>0</v>
      </c>
      <c r="R166" s="8"/>
    </row>
    <row r="167" spans="2:18" ht="15" customHeight="1" x14ac:dyDescent="0.25">
      <c r="B167" s="53"/>
      <c r="C167" s="18" t="s">
        <v>140</v>
      </c>
      <c r="D167" s="43" t="s">
        <v>152</v>
      </c>
      <c r="E167" s="67">
        <f>COUNTIFS('TOTAL KONTAK ERAT'!$F:$F,"Sukorejo")</f>
        <v>0</v>
      </c>
      <c r="F167" s="22"/>
      <c r="G167" s="23"/>
      <c r="H167" s="23"/>
      <c r="I167" s="23"/>
      <c r="J167" s="23"/>
      <c r="K167" s="23"/>
      <c r="L167" s="24"/>
      <c r="M167" s="24"/>
      <c r="N167" s="24"/>
      <c r="Q167" s="42">
        <f t="shared" si="2"/>
        <v>0</v>
      </c>
      <c r="R167" s="8"/>
    </row>
    <row r="168" spans="2:18" ht="15" customHeight="1" x14ac:dyDescent="0.25">
      <c r="B168" s="53"/>
      <c r="C168" s="18" t="s">
        <v>140</v>
      </c>
      <c r="D168" s="43" t="s">
        <v>153</v>
      </c>
      <c r="E168" s="67">
        <f>COUNTIFS('TOTAL KONTAK ERAT'!$F:$F,"Sarirejo")</f>
        <v>0</v>
      </c>
      <c r="F168" s="22"/>
      <c r="G168" s="23"/>
      <c r="H168" s="23"/>
      <c r="I168" s="23"/>
      <c r="J168" s="23"/>
      <c r="K168" s="23"/>
      <c r="L168" s="24"/>
      <c r="M168" s="24"/>
      <c r="N168" s="24"/>
      <c r="Q168" s="42">
        <f t="shared" si="2"/>
        <v>0</v>
      </c>
      <c r="R168" s="8"/>
    </row>
    <row r="169" spans="2:18" ht="15" customHeight="1" x14ac:dyDescent="0.25">
      <c r="B169" s="53"/>
      <c r="C169" s="18" t="s">
        <v>140</v>
      </c>
      <c r="D169" s="43" t="s">
        <v>154</v>
      </c>
      <c r="E169" s="67">
        <f>COUNTIFS('TOTAL KONTAK ERAT'!$F:$F,"Sidokumpul")</f>
        <v>0</v>
      </c>
      <c r="F169" s="22"/>
      <c r="G169" s="23"/>
      <c r="H169" s="23"/>
      <c r="I169" s="23"/>
      <c r="J169" s="23"/>
      <c r="K169" s="23"/>
      <c r="L169" s="24"/>
      <c r="M169" s="24"/>
      <c r="N169" s="24"/>
      <c r="Q169" s="42">
        <f t="shared" si="2"/>
        <v>0</v>
      </c>
      <c r="R169" s="8"/>
    </row>
    <row r="170" spans="2:18" ht="15" customHeight="1" x14ac:dyDescent="0.25">
      <c r="B170" s="53"/>
      <c r="C170" s="18" t="s">
        <v>140</v>
      </c>
      <c r="D170" s="43" t="s">
        <v>155</v>
      </c>
      <c r="E170" s="67">
        <f>COUNTIFS('TOTAL KONTAK ERAT'!$F:$F,"Gaji")</f>
        <v>0</v>
      </c>
      <c r="F170" s="22"/>
      <c r="G170" s="23"/>
      <c r="H170" s="23"/>
      <c r="I170" s="23"/>
      <c r="J170" s="23"/>
      <c r="K170" s="23"/>
      <c r="L170" s="24"/>
      <c r="M170" s="24"/>
      <c r="N170" s="24"/>
      <c r="Q170" s="42">
        <f t="shared" si="2"/>
        <v>0</v>
      </c>
      <c r="R170" s="8"/>
    </row>
    <row r="171" spans="2:18" ht="15" customHeight="1" x14ac:dyDescent="0.25">
      <c r="B171" s="53"/>
      <c r="C171" s="18" t="s">
        <v>140</v>
      </c>
      <c r="D171" s="43" t="s">
        <v>156</v>
      </c>
      <c r="E171" s="67">
        <f>COUNTIFS('TOTAL KONTAK ERAT'!$F:$F,"Banjarejo")</f>
        <v>0</v>
      </c>
      <c r="F171" s="22"/>
      <c r="G171" s="23"/>
      <c r="H171" s="23"/>
      <c r="I171" s="23"/>
      <c r="J171" s="23"/>
      <c r="K171" s="23"/>
      <c r="L171" s="24"/>
      <c r="M171" s="24"/>
      <c r="N171" s="24"/>
      <c r="Q171" s="42">
        <f t="shared" si="2"/>
        <v>0</v>
      </c>
      <c r="R171" s="8"/>
    </row>
    <row r="172" spans="2:18" ht="15" customHeight="1" x14ac:dyDescent="0.25">
      <c r="B172" s="53"/>
      <c r="C172" s="18" t="s">
        <v>140</v>
      </c>
      <c r="D172" s="43" t="s">
        <v>157</v>
      </c>
      <c r="E172" s="67">
        <f>COUNTIFS('TOTAL KONTAK ERAT'!$F:$F,"Krandon")</f>
        <v>0</v>
      </c>
      <c r="F172" s="22"/>
      <c r="G172" s="23"/>
      <c r="H172" s="23"/>
      <c r="I172" s="23"/>
      <c r="J172" s="23"/>
      <c r="K172" s="23"/>
      <c r="L172" s="24"/>
      <c r="M172" s="24"/>
      <c r="N172" s="24"/>
      <c r="Q172" s="42">
        <f t="shared" si="2"/>
        <v>0</v>
      </c>
      <c r="R172" s="8"/>
    </row>
    <row r="173" spans="2:18" ht="15" customHeight="1" x14ac:dyDescent="0.25">
      <c r="B173" s="53"/>
      <c r="C173" s="18" t="s">
        <v>140</v>
      </c>
      <c r="D173" s="43" t="s">
        <v>158</v>
      </c>
      <c r="E173" s="67">
        <f>COUNTIFS('TOTAL KONTAK ERAT'!$F:$F,"Tangkis")</f>
        <v>0</v>
      </c>
      <c r="F173" s="22"/>
      <c r="G173" s="23"/>
      <c r="H173" s="23"/>
      <c r="I173" s="23"/>
      <c r="J173" s="23"/>
      <c r="K173" s="23"/>
      <c r="L173" s="24"/>
      <c r="M173" s="24"/>
      <c r="N173" s="24"/>
      <c r="Q173" s="42">
        <f t="shared" si="2"/>
        <v>0</v>
      </c>
      <c r="R173" s="8"/>
    </row>
    <row r="174" spans="2:18" ht="15" customHeight="1" x14ac:dyDescent="0.25">
      <c r="B174" s="53"/>
      <c r="C174" s="18" t="s">
        <v>140</v>
      </c>
      <c r="D174" s="43" t="s">
        <v>80</v>
      </c>
      <c r="E174" s="67">
        <f>COUNTIFS('TOTAL KONTAK ERAT'!$F:$F,"Wonorejo",'TOTAL KONTAK ERAT'!$E:$E,"guntur")</f>
        <v>0</v>
      </c>
      <c r="F174" s="22"/>
      <c r="G174" s="23"/>
      <c r="H174" s="23"/>
      <c r="I174" s="23"/>
      <c r="J174" s="23"/>
      <c r="K174" s="23"/>
      <c r="L174" s="24"/>
      <c r="M174" s="24"/>
      <c r="N174" s="24"/>
      <c r="Q174" s="42">
        <f t="shared" si="2"/>
        <v>0</v>
      </c>
      <c r="R174" s="8"/>
    </row>
    <row r="175" spans="2:18" ht="15" customHeight="1" x14ac:dyDescent="0.25">
      <c r="B175" s="5">
        <v>10</v>
      </c>
      <c r="C175" s="18" t="s">
        <v>163</v>
      </c>
      <c r="D175" s="43" t="s">
        <v>159</v>
      </c>
      <c r="E175" s="67">
        <f>COUNTIFS('TOTAL KONTAK ERAT'!$F:$F,"Bumirejo")</f>
        <v>0</v>
      </c>
      <c r="F175" s="22" t="e">
        <f>SUM(#REF!)</f>
        <v>#REF!</v>
      </c>
      <c r="G175" s="22" t="e">
        <f>SUM(#REF!)</f>
        <v>#REF!</v>
      </c>
      <c r="H175" s="22" t="e">
        <f>SUM(#REF!)</f>
        <v>#REF!</v>
      </c>
      <c r="I175" s="22" t="e">
        <f>SUM(#REF!)</f>
        <v>#REF!</v>
      </c>
      <c r="J175" s="22" t="e">
        <f>SUM(#REF!)</f>
        <v>#REF!</v>
      </c>
      <c r="K175" s="22" t="e">
        <f>SUM(#REF!)</f>
        <v>#REF!</v>
      </c>
      <c r="L175" s="22" t="e">
        <f>SUM(#REF!)</f>
        <v>#REF!</v>
      </c>
      <c r="M175" s="22">
        <f>SUM(E175:E186)</f>
        <v>1</v>
      </c>
      <c r="N175" s="22" t="e">
        <f>SUM(#REF!)</f>
        <v>#REF!</v>
      </c>
      <c r="Q175" s="42">
        <f t="shared" si="2"/>
        <v>0</v>
      </c>
      <c r="R175" s="125">
        <f>SUM(Q175:Q186)</f>
        <v>1</v>
      </c>
    </row>
    <row r="176" spans="2:18" ht="15" customHeight="1" x14ac:dyDescent="0.25">
      <c r="B176" s="5"/>
      <c r="C176" s="18" t="s">
        <v>163</v>
      </c>
      <c r="D176" s="43" t="s">
        <v>160</v>
      </c>
      <c r="E176" s="67">
        <f>COUNTIFS('TOTAL KONTAK ERAT'!$F:$F,"Pundenarum")</f>
        <v>0</v>
      </c>
      <c r="F176" s="22"/>
      <c r="G176" s="23"/>
      <c r="H176" s="23"/>
      <c r="I176" s="23"/>
      <c r="J176" s="23"/>
      <c r="K176" s="23"/>
      <c r="L176" s="24"/>
      <c r="M176" s="24"/>
      <c r="N176" s="24"/>
      <c r="Q176" s="42">
        <f t="shared" si="2"/>
        <v>0</v>
      </c>
      <c r="R176" s="8"/>
    </row>
    <row r="177" spans="2:18" ht="15" customHeight="1" x14ac:dyDescent="0.25">
      <c r="B177" s="5"/>
      <c r="C177" s="18" t="s">
        <v>163</v>
      </c>
      <c r="D177" s="43" t="s">
        <v>161</v>
      </c>
      <c r="E177" s="67">
        <f>COUNTIFS('TOTAL KONTAK ERAT'!$F:$F,"Kuripan")</f>
        <v>0</v>
      </c>
      <c r="F177" s="22"/>
      <c r="G177" s="23"/>
      <c r="H177" s="23"/>
      <c r="I177" s="23"/>
      <c r="J177" s="23"/>
      <c r="K177" s="23"/>
      <c r="L177" s="24"/>
      <c r="M177" s="24"/>
      <c r="N177" s="24"/>
      <c r="Q177" s="42">
        <f t="shared" si="2"/>
        <v>0</v>
      </c>
      <c r="R177" s="8"/>
    </row>
    <row r="178" spans="2:18" ht="15" customHeight="1" x14ac:dyDescent="0.25">
      <c r="B178" s="5"/>
      <c r="C178" s="18" t="s">
        <v>163</v>
      </c>
      <c r="D178" s="43" t="s">
        <v>162</v>
      </c>
      <c r="E178" s="67">
        <f>COUNTIFS('TOTAL KONTAK ERAT'!$F:$F,"Brambang")</f>
        <v>0</v>
      </c>
      <c r="F178" s="22"/>
      <c r="G178" s="23"/>
      <c r="H178" s="23"/>
      <c r="I178" s="23"/>
      <c r="J178" s="23"/>
      <c r="K178" s="23"/>
      <c r="L178" s="24"/>
      <c r="M178" s="24"/>
      <c r="N178" s="24"/>
      <c r="Q178" s="42">
        <f t="shared" si="2"/>
        <v>0</v>
      </c>
      <c r="R178" s="8"/>
    </row>
    <row r="179" spans="2:18" ht="15" customHeight="1" x14ac:dyDescent="0.25">
      <c r="B179" s="5"/>
      <c r="C179" s="18" t="s">
        <v>163</v>
      </c>
      <c r="D179" s="43" t="s">
        <v>163</v>
      </c>
      <c r="E179" s="67">
        <f>COUNTIFS('TOTAL KONTAK ERAT'!$F:$F,"Karangawen")</f>
        <v>0</v>
      </c>
      <c r="F179" s="22"/>
      <c r="G179" s="23"/>
      <c r="H179" s="23"/>
      <c r="I179" s="23"/>
      <c r="J179" s="23"/>
      <c r="K179" s="23"/>
      <c r="L179" s="24"/>
      <c r="M179" s="24"/>
      <c r="N179" s="24"/>
      <c r="Q179" s="42">
        <f t="shared" si="2"/>
        <v>0</v>
      </c>
      <c r="R179" s="8"/>
    </row>
    <row r="180" spans="2:18" ht="15" customHeight="1" x14ac:dyDescent="0.25">
      <c r="B180" s="5"/>
      <c r="C180" s="18" t="s">
        <v>163</v>
      </c>
      <c r="D180" s="43" t="s">
        <v>164</v>
      </c>
      <c r="E180" s="67">
        <f>COUNTIFS('TOTAL KONTAK ERAT'!$F:$F,"Sidorejo",'TOTAL KONTAK ERAT'!$E:$E,"karangawen")</f>
        <v>0</v>
      </c>
      <c r="F180" s="22"/>
      <c r="G180" s="23"/>
      <c r="H180" s="23"/>
      <c r="I180" s="23"/>
      <c r="J180" s="23"/>
      <c r="K180" s="23"/>
      <c r="L180" s="24"/>
      <c r="M180" s="24"/>
      <c r="N180" s="24"/>
      <c r="Q180" s="42">
        <f t="shared" si="2"/>
        <v>0</v>
      </c>
      <c r="R180" s="8"/>
    </row>
    <row r="181" spans="2:18" ht="15" customHeight="1" x14ac:dyDescent="0.25">
      <c r="B181" s="5"/>
      <c r="C181" s="18" t="s">
        <v>163</v>
      </c>
      <c r="D181" s="43" t="s">
        <v>165</v>
      </c>
      <c r="E181" s="67">
        <f>COUNTIFS('TOTAL KONTAK ERAT'!$F:$F,"Wonosekar")</f>
        <v>0</v>
      </c>
      <c r="F181" s="22"/>
      <c r="G181" s="23"/>
      <c r="H181" s="23"/>
      <c r="I181" s="23"/>
      <c r="J181" s="23"/>
      <c r="K181" s="23"/>
      <c r="L181" s="24"/>
      <c r="M181" s="24"/>
      <c r="N181" s="24"/>
      <c r="Q181" s="42">
        <f t="shared" si="2"/>
        <v>0</v>
      </c>
      <c r="R181" s="8"/>
    </row>
    <row r="182" spans="2:18" ht="15" customHeight="1" x14ac:dyDescent="0.25">
      <c r="B182" s="5"/>
      <c r="C182" s="18" t="s">
        <v>163</v>
      </c>
      <c r="D182" s="43" t="s">
        <v>50</v>
      </c>
      <c r="E182" s="67">
        <f>COUNTIFS('TOTAL KONTAK ERAT'!$F:$F,"Tlogorejo",'TOTAL KONTAK ERAT'!$E:$E,"Karangawen")</f>
        <v>1</v>
      </c>
      <c r="F182" s="22"/>
      <c r="G182" s="23"/>
      <c r="H182" s="23"/>
      <c r="I182" s="23"/>
      <c r="J182" s="23"/>
      <c r="K182" s="23"/>
      <c r="L182" s="24"/>
      <c r="M182" s="24"/>
      <c r="N182" s="24"/>
      <c r="Q182" s="42">
        <f t="shared" si="2"/>
        <v>1</v>
      </c>
      <c r="R182" s="8"/>
    </row>
    <row r="183" spans="2:18" ht="15" customHeight="1" x14ac:dyDescent="0.25">
      <c r="B183" s="5"/>
      <c r="C183" s="18" t="s">
        <v>163</v>
      </c>
      <c r="D183" s="43" t="s">
        <v>26</v>
      </c>
      <c r="E183" s="67">
        <f>COUNTIFS('TOTAL KONTAK ERAT'!$F:$F,"Rejosari",'TOTAL KONTAK ERAT'!$E:$E,"karangawen")</f>
        <v>0</v>
      </c>
      <c r="F183" s="22"/>
      <c r="G183" s="23"/>
      <c r="H183" s="23"/>
      <c r="I183" s="23"/>
      <c r="J183" s="23"/>
      <c r="K183" s="23"/>
      <c r="L183" s="24"/>
      <c r="M183" s="24"/>
      <c r="N183" s="24"/>
      <c r="Q183" s="42">
        <f t="shared" si="2"/>
        <v>0</v>
      </c>
      <c r="R183" s="8"/>
    </row>
    <row r="184" spans="2:18" ht="15" customHeight="1" x14ac:dyDescent="0.25">
      <c r="B184" s="5"/>
      <c r="C184" s="18" t="s">
        <v>163</v>
      </c>
      <c r="D184" s="43" t="s">
        <v>166</v>
      </c>
      <c r="E184" s="67">
        <f>COUNTIFS('TOTAL KONTAK ERAT'!$F:$F,"Teluk")</f>
        <v>0</v>
      </c>
      <c r="F184" s="22"/>
      <c r="G184" s="23"/>
      <c r="H184" s="23"/>
      <c r="I184" s="23"/>
      <c r="J184" s="23"/>
      <c r="K184" s="23"/>
      <c r="L184" s="24"/>
      <c r="M184" s="24"/>
      <c r="N184" s="24"/>
      <c r="Q184" s="42">
        <f t="shared" si="2"/>
        <v>0</v>
      </c>
      <c r="R184" s="8"/>
    </row>
    <row r="185" spans="2:18" ht="15" customHeight="1" x14ac:dyDescent="0.25">
      <c r="B185" s="5"/>
      <c r="C185" s="18" t="s">
        <v>163</v>
      </c>
      <c r="D185" s="43" t="s">
        <v>167</v>
      </c>
      <c r="E185" s="67">
        <f>COUNTIFS('TOTAL KONTAK ERAT'!$F:$F,"Margohayu")</f>
        <v>0</v>
      </c>
      <c r="F185" s="22"/>
      <c r="G185" s="23"/>
      <c r="H185" s="23"/>
      <c r="I185" s="23"/>
      <c r="J185" s="23"/>
      <c r="K185" s="23"/>
      <c r="L185" s="24"/>
      <c r="M185" s="24"/>
      <c r="N185" s="24"/>
      <c r="Q185" s="42">
        <f t="shared" si="2"/>
        <v>0</v>
      </c>
      <c r="R185" s="8"/>
    </row>
    <row r="186" spans="2:18" ht="15" customHeight="1" x14ac:dyDescent="0.25">
      <c r="B186" s="5"/>
      <c r="C186" s="18" t="s">
        <v>163</v>
      </c>
      <c r="D186" s="43" t="s">
        <v>168</v>
      </c>
      <c r="E186" s="67">
        <f>COUNTIFS('TOTAL KONTAK ERAT'!$F:$F,"Jragung")</f>
        <v>0</v>
      </c>
      <c r="F186" s="22"/>
      <c r="G186" s="23"/>
      <c r="H186" s="23"/>
      <c r="I186" s="23"/>
      <c r="J186" s="23"/>
      <c r="K186" s="23"/>
      <c r="L186" s="24"/>
      <c r="M186" s="24"/>
      <c r="N186" s="24"/>
      <c r="Q186" s="42">
        <f t="shared" si="2"/>
        <v>0</v>
      </c>
      <c r="R186" s="8"/>
    </row>
    <row r="187" spans="2:18" x14ac:dyDescent="0.25">
      <c r="B187" s="5">
        <v>11</v>
      </c>
      <c r="C187" s="18" t="s">
        <v>169</v>
      </c>
      <c r="D187" s="43" t="s">
        <v>170</v>
      </c>
      <c r="E187" s="67">
        <f>COUNTIFS('TOTAL KONTAK ERAT'!$F:$F,"Harjowinangun")</f>
        <v>0</v>
      </c>
      <c r="F187" s="22" t="e">
        <f>SUM(#REF!)</f>
        <v>#REF!</v>
      </c>
      <c r="G187" s="22" t="e">
        <f>SUM(#REF!)</f>
        <v>#REF!</v>
      </c>
      <c r="H187" s="22" t="e">
        <f>SUM(#REF!)</f>
        <v>#REF!</v>
      </c>
      <c r="I187" s="22" t="e">
        <f>SUM(#REF!)</f>
        <v>#REF!</v>
      </c>
      <c r="J187" s="22" t="e">
        <f>SUM(#REF!)</f>
        <v>#REF!</v>
      </c>
      <c r="K187" s="22" t="e">
        <f>SUM(#REF!)</f>
        <v>#REF!</v>
      </c>
      <c r="L187" s="22" t="e">
        <f>SUM(#REF!)</f>
        <v>#REF!</v>
      </c>
      <c r="M187" s="22">
        <f>SUM(E187:E202)</f>
        <v>0</v>
      </c>
      <c r="N187" s="22" t="e">
        <f>SUM(#REF!)</f>
        <v>#REF!</v>
      </c>
      <c r="Q187" s="42">
        <f t="shared" si="2"/>
        <v>0</v>
      </c>
      <c r="R187" s="125">
        <f>SUM(Q187:Q202)</f>
        <v>0</v>
      </c>
    </row>
    <row r="188" spans="2:18" x14ac:dyDescent="0.25">
      <c r="B188" s="5"/>
      <c r="C188" s="18" t="s">
        <v>169</v>
      </c>
      <c r="D188" s="43" t="s">
        <v>169</v>
      </c>
      <c r="E188" s="67">
        <f>COUNTIFS('TOTAL KONTAK ERAT'!$F:$F,"Dempet")</f>
        <v>0</v>
      </c>
      <c r="F188" s="22"/>
      <c r="G188" s="23"/>
      <c r="H188" s="23"/>
      <c r="I188" s="23"/>
      <c r="J188" s="23"/>
      <c r="K188" s="23"/>
      <c r="L188" s="24"/>
      <c r="M188" s="24"/>
      <c r="N188" s="24"/>
      <c r="Q188" s="42">
        <f t="shared" si="2"/>
        <v>0</v>
      </c>
      <c r="R188" s="8"/>
    </row>
    <row r="189" spans="2:18" x14ac:dyDescent="0.25">
      <c r="B189" s="5"/>
      <c r="C189" s="18" t="s">
        <v>169</v>
      </c>
      <c r="D189" s="43" t="s">
        <v>171</v>
      </c>
      <c r="E189" s="67">
        <f>COUNTIFS('TOTAL KONTAK ERAT'!$F:$F,"Brakas")</f>
        <v>0</v>
      </c>
      <c r="F189" s="22"/>
      <c r="G189" s="23"/>
      <c r="H189" s="23"/>
      <c r="I189" s="23"/>
      <c r="J189" s="23"/>
      <c r="K189" s="23"/>
      <c r="L189" s="24"/>
      <c r="M189" s="24"/>
      <c r="N189" s="24"/>
      <c r="Q189" s="42">
        <f t="shared" si="2"/>
        <v>0</v>
      </c>
      <c r="R189" s="8"/>
    </row>
    <row r="190" spans="2:18" x14ac:dyDescent="0.25">
      <c r="B190" s="5"/>
      <c r="C190" s="18" t="s">
        <v>169</v>
      </c>
      <c r="D190" s="60" t="s">
        <v>44</v>
      </c>
      <c r="E190" s="67">
        <f>COUNTIFS('TOTAL KONTAK ERAT'!$F:$F,"Sidomulyo",'TOTAL KONTAK ERAT'!$E:$E,"dempet")</f>
        <v>0</v>
      </c>
      <c r="F190" s="22"/>
      <c r="G190" s="23"/>
      <c r="H190" s="23"/>
      <c r="I190" s="23"/>
      <c r="J190" s="23"/>
      <c r="K190" s="23"/>
      <c r="L190" s="24"/>
      <c r="M190" s="24"/>
      <c r="N190" s="24"/>
      <c r="Q190" s="42">
        <f t="shared" si="2"/>
        <v>0</v>
      </c>
      <c r="R190" s="8"/>
    </row>
    <row r="191" spans="2:18" x14ac:dyDescent="0.25">
      <c r="B191" s="5"/>
      <c r="C191" s="18" t="s">
        <v>169</v>
      </c>
      <c r="D191" s="43" t="s">
        <v>172</v>
      </c>
      <c r="E191" s="67">
        <f>COUNTIFS('TOTAL KONTAK ERAT'!$F:$F,"Gempoldenok")</f>
        <v>0</v>
      </c>
      <c r="F191" s="22"/>
      <c r="G191" s="23"/>
      <c r="H191" s="23"/>
      <c r="I191" s="23"/>
      <c r="J191" s="23"/>
      <c r="K191" s="23"/>
      <c r="L191" s="24"/>
      <c r="M191" s="24"/>
      <c r="N191" s="24"/>
      <c r="Q191" s="42">
        <f t="shared" si="2"/>
        <v>0</v>
      </c>
      <c r="R191" s="8"/>
    </row>
    <row r="192" spans="2:18" x14ac:dyDescent="0.25">
      <c r="B192" s="5"/>
      <c r="C192" s="18" t="s">
        <v>169</v>
      </c>
      <c r="D192" s="43" t="s">
        <v>173</v>
      </c>
      <c r="E192" s="67">
        <f>COUNTIFS('TOTAL KONTAK ERAT'!$F:$F,"Botosengon")</f>
        <v>0</v>
      </c>
      <c r="F192" s="22"/>
      <c r="G192" s="23"/>
      <c r="H192" s="23"/>
      <c r="I192" s="23"/>
      <c r="J192" s="23"/>
      <c r="K192" s="23"/>
      <c r="L192" s="24"/>
      <c r="M192" s="24"/>
      <c r="N192" s="24"/>
      <c r="Q192" s="42">
        <f t="shared" si="2"/>
        <v>0</v>
      </c>
      <c r="R192" s="8"/>
    </row>
    <row r="193" spans="2:18" x14ac:dyDescent="0.25">
      <c r="B193" s="5"/>
      <c r="C193" s="18" t="s">
        <v>169</v>
      </c>
      <c r="D193" s="43" t="s">
        <v>174</v>
      </c>
      <c r="E193" s="67">
        <f>COUNTIFS('TOTAL KONTAK ERAT'!$F:$F,"Merak")</f>
        <v>0</v>
      </c>
      <c r="F193" s="22"/>
      <c r="G193" s="23"/>
      <c r="H193" s="23"/>
      <c r="I193" s="23"/>
      <c r="J193" s="23"/>
      <c r="K193" s="23"/>
      <c r="L193" s="24"/>
      <c r="M193" s="24"/>
      <c r="N193" s="24"/>
      <c r="Q193" s="42">
        <f t="shared" si="2"/>
        <v>0</v>
      </c>
      <c r="R193" s="8"/>
    </row>
    <row r="194" spans="2:18" x14ac:dyDescent="0.25">
      <c r="B194" s="5"/>
      <c r="C194" s="18" t="s">
        <v>169</v>
      </c>
      <c r="D194" s="43" t="s">
        <v>175</v>
      </c>
      <c r="E194" s="67">
        <f>COUNTIFS('TOTAL KONTAK ERAT'!$F:$F,"Kebonsari")</f>
        <v>0</v>
      </c>
      <c r="F194" s="22"/>
      <c r="G194" s="23"/>
      <c r="H194" s="23"/>
      <c r="I194" s="23"/>
      <c r="J194" s="23"/>
      <c r="K194" s="23"/>
      <c r="L194" s="24"/>
      <c r="M194" s="24"/>
      <c r="N194" s="24"/>
      <c r="Q194" s="42">
        <f t="shared" si="2"/>
        <v>0</v>
      </c>
      <c r="R194" s="8"/>
    </row>
    <row r="195" spans="2:18" x14ac:dyDescent="0.25">
      <c r="B195" s="5"/>
      <c r="C195" s="18" t="s">
        <v>169</v>
      </c>
      <c r="D195" s="43" t="s">
        <v>176</v>
      </c>
      <c r="E195" s="67">
        <f>COUNTIFS('TOTAL KONTAK ERAT'!$F:$F,"Balerejo")</f>
        <v>0</v>
      </c>
      <c r="F195" s="22"/>
      <c r="G195" s="23"/>
      <c r="H195" s="23"/>
      <c r="I195" s="23"/>
      <c r="J195" s="23"/>
      <c r="K195" s="23"/>
      <c r="L195" s="24"/>
      <c r="M195" s="24"/>
      <c r="N195" s="24"/>
      <c r="Q195" s="42">
        <f t="shared" si="2"/>
        <v>0</v>
      </c>
      <c r="R195" s="8"/>
    </row>
    <row r="196" spans="2:18" x14ac:dyDescent="0.25">
      <c r="B196" s="5"/>
      <c r="C196" s="18" t="s">
        <v>169</v>
      </c>
      <c r="D196" s="43" t="s">
        <v>53</v>
      </c>
      <c r="E196" s="67">
        <f>COUNTIFS('TOTAL KONTAK ERAT'!$F:$F,"Karangrejo",'TOTAL KONTAK ERAT'!$E:$E,"dempet")</f>
        <v>0</v>
      </c>
      <c r="F196" s="22"/>
      <c r="G196" s="23"/>
      <c r="H196" s="23"/>
      <c r="I196" s="23"/>
      <c r="J196" s="23"/>
      <c r="K196" s="23"/>
      <c r="L196" s="24"/>
      <c r="M196" s="24"/>
      <c r="N196" s="24"/>
      <c r="Q196" s="42">
        <f t="shared" si="2"/>
        <v>0</v>
      </c>
      <c r="R196" s="8"/>
    </row>
    <row r="197" spans="2:18" x14ac:dyDescent="0.25">
      <c r="B197" s="5"/>
      <c r="C197" s="18" t="s">
        <v>169</v>
      </c>
      <c r="D197" s="43" t="s">
        <v>177</v>
      </c>
      <c r="E197" s="67">
        <f>COUNTIFS('TOTAL KONTAK ERAT'!$F:$F,"Baleromo")</f>
        <v>0</v>
      </c>
      <c r="F197" s="22"/>
      <c r="G197" s="23"/>
      <c r="H197" s="23"/>
      <c r="I197" s="23"/>
      <c r="J197" s="23"/>
      <c r="K197" s="23"/>
      <c r="L197" s="24"/>
      <c r="M197" s="24"/>
      <c r="N197" s="24"/>
      <c r="Q197" s="42">
        <f t="shared" si="2"/>
        <v>0</v>
      </c>
      <c r="R197" s="8"/>
    </row>
    <row r="198" spans="2:18" x14ac:dyDescent="0.25">
      <c r="B198" s="5"/>
      <c r="C198" s="18" t="s">
        <v>169</v>
      </c>
      <c r="D198" s="43" t="s">
        <v>178</v>
      </c>
      <c r="E198" s="67">
        <f>COUNTIFS('TOTAL KONTAK ERAT'!$F:$F,"Jerukgulung")</f>
        <v>0</v>
      </c>
      <c r="F198" s="22"/>
      <c r="G198" s="23"/>
      <c r="H198" s="23"/>
      <c r="I198" s="23"/>
      <c r="J198" s="23"/>
      <c r="K198" s="23"/>
      <c r="L198" s="24"/>
      <c r="M198" s="24"/>
      <c r="N198" s="24"/>
      <c r="Q198" s="42">
        <f t="shared" si="2"/>
        <v>0</v>
      </c>
      <c r="R198" s="8"/>
    </row>
    <row r="199" spans="2:18" x14ac:dyDescent="0.25">
      <c r="B199" s="5"/>
      <c r="C199" s="18" t="s">
        <v>169</v>
      </c>
      <c r="D199" s="43" t="s">
        <v>179</v>
      </c>
      <c r="E199" s="67">
        <f>COUNTIFS('TOTAL KONTAK ERAT'!$F:$F,"Kunir")</f>
        <v>0</v>
      </c>
      <c r="F199" s="22"/>
      <c r="G199" s="23"/>
      <c r="H199" s="23"/>
      <c r="I199" s="23"/>
      <c r="J199" s="23"/>
      <c r="K199" s="23"/>
      <c r="L199" s="24"/>
      <c r="M199" s="24"/>
      <c r="N199" s="24"/>
      <c r="Q199" s="42">
        <f t="shared" si="2"/>
        <v>0</v>
      </c>
      <c r="R199" s="8"/>
    </row>
    <row r="200" spans="2:18" x14ac:dyDescent="0.25">
      <c r="B200" s="5"/>
      <c r="C200" s="18" t="s">
        <v>169</v>
      </c>
      <c r="D200" s="43" t="s">
        <v>397</v>
      </c>
      <c r="E200" s="67">
        <f>COUNTIFS('TOTAL KONTAK ERAT'!$F:$F,"Kedungori")</f>
        <v>0</v>
      </c>
      <c r="F200" s="22"/>
      <c r="G200" s="23"/>
      <c r="H200" s="23"/>
      <c r="I200" s="23"/>
      <c r="J200" s="23"/>
      <c r="K200" s="23"/>
      <c r="L200" s="24"/>
      <c r="M200" s="24"/>
      <c r="N200" s="24"/>
      <c r="Q200" s="42">
        <f t="shared" ref="Q200:Q257" si="3">SUM(E200:E200)</f>
        <v>0</v>
      </c>
      <c r="R200" s="8"/>
    </row>
    <row r="201" spans="2:18" x14ac:dyDescent="0.25">
      <c r="B201" s="5"/>
      <c r="C201" s="18" t="s">
        <v>169</v>
      </c>
      <c r="D201" s="60" t="s">
        <v>180</v>
      </c>
      <c r="E201" s="67">
        <f>COUNTIFS('TOTAL KONTAK ERAT'!$F:$F,"Kuwu")</f>
        <v>0</v>
      </c>
      <c r="F201" s="22"/>
      <c r="G201" s="23"/>
      <c r="H201" s="23"/>
      <c r="I201" s="23"/>
      <c r="J201" s="23"/>
      <c r="K201" s="23"/>
      <c r="L201" s="24"/>
      <c r="M201" s="24"/>
      <c r="N201" s="24"/>
      <c r="Q201" s="42">
        <f t="shared" si="3"/>
        <v>0</v>
      </c>
      <c r="R201" s="8"/>
    </row>
    <row r="202" spans="2:18" x14ac:dyDescent="0.25">
      <c r="B202" s="5"/>
      <c r="C202" s="18" t="s">
        <v>169</v>
      </c>
      <c r="D202" s="43" t="s">
        <v>181</v>
      </c>
      <c r="E202" s="67">
        <f>COUNTIFS('TOTAL KONTAK ERAT'!$F:$F,"Kramat")</f>
        <v>0</v>
      </c>
      <c r="F202" s="22"/>
      <c r="G202" s="23"/>
      <c r="H202" s="23"/>
      <c r="I202" s="23"/>
      <c r="J202" s="23"/>
      <c r="K202" s="23"/>
      <c r="L202" s="24"/>
      <c r="M202" s="24"/>
      <c r="N202" s="24"/>
      <c r="Q202" s="42">
        <f t="shared" si="3"/>
        <v>0</v>
      </c>
      <c r="R202" s="8"/>
    </row>
    <row r="203" spans="2:18" ht="15" customHeight="1" x14ac:dyDescent="0.25">
      <c r="B203" s="5">
        <v>12</v>
      </c>
      <c r="C203" s="18" t="s">
        <v>182</v>
      </c>
      <c r="D203" s="43" t="s">
        <v>183</v>
      </c>
      <c r="E203" s="67">
        <f>COUNTIFS('TOTAL KONTAK ERAT'!$F:$F,"Mangunrejo")</f>
        <v>0</v>
      </c>
      <c r="F203" s="22" t="e">
        <f>SUM(#REF!)</f>
        <v>#REF!</v>
      </c>
      <c r="G203" s="22" t="e">
        <f>SUM(#REF!)</f>
        <v>#REF!</v>
      </c>
      <c r="H203" s="22" t="e">
        <f>SUM(#REF!)</f>
        <v>#REF!</v>
      </c>
      <c r="I203" s="22" t="e">
        <f>SUM(#REF!)</f>
        <v>#REF!</v>
      </c>
      <c r="J203" s="22" t="e">
        <f>SUM(#REF!)</f>
        <v>#REF!</v>
      </c>
      <c r="K203" s="22" t="e">
        <f>SUM(#REF!)</f>
        <v>#REF!</v>
      </c>
      <c r="L203" s="22" t="e">
        <f>SUM(#REF!)</f>
        <v>#REF!</v>
      </c>
      <c r="M203" s="22">
        <f>SUM(E203:E216)</f>
        <v>0</v>
      </c>
      <c r="N203" s="22" t="e">
        <f>SUM(#REF!)</f>
        <v>#REF!</v>
      </c>
      <c r="Q203" s="42">
        <f t="shared" si="3"/>
        <v>0</v>
      </c>
      <c r="R203" s="125">
        <f>SUM(Q203:Q216)</f>
        <v>0</v>
      </c>
    </row>
    <row r="204" spans="2:18" ht="15" customHeight="1" x14ac:dyDescent="0.25">
      <c r="B204" s="5"/>
      <c r="C204" s="18" t="s">
        <v>182</v>
      </c>
      <c r="D204" s="43" t="s">
        <v>184</v>
      </c>
      <c r="E204" s="67">
        <f>COUNTIFS('TOTAL KONTAK ERAT'!$F:$F,"Tlogosih")</f>
        <v>0</v>
      </c>
      <c r="F204" s="22"/>
      <c r="G204" s="23"/>
      <c r="H204" s="23"/>
      <c r="I204" s="23"/>
      <c r="J204" s="23"/>
      <c r="K204" s="23"/>
      <c r="L204" s="24"/>
      <c r="M204" s="24"/>
      <c r="N204" s="24"/>
      <c r="Q204" s="42">
        <f t="shared" si="3"/>
        <v>0</v>
      </c>
      <c r="R204" s="8"/>
    </row>
    <row r="205" spans="2:18" ht="15" customHeight="1" x14ac:dyDescent="0.25">
      <c r="B205" s="5"/>
      <c r="C205" s="18" t="s">
        <v>182</v>
      </c>
      <c r="D205" s="43" t="s">
        <v>185</v>
      </c>
      <c r="E205" s="67">
        <f>COUNTIFS('TOTAL KONTAK ERAT'!$F:$F,"Megonten")</f>
        <v>0</v>
      </c>
      <c r="F205" s="22"/>
      <c r="G205" s="23"/>
      <c r="H205" s="23"/>
      <c r="I205" s="23"/>
      <c r="J205" s="23"/>
      <c r="K205" s="23"/>
      <c r="L205" s="24"/>
      <c r="M205" s="24"/>
      <c r="N205" s="24"/>
      <c r="Q205" s="42">
        <f t="shared" si="3"/>
        <v>0</v>
      </c>
      <c r="R205" s="8"/>
    </row>
    <row r="206" spans="2:18" ht="15" customHeight="1" x14ac:dyDescent="0.25">
      <c r="B206" s="5"/>
      <c r="C206" s="18" t="s">
        <v>182</v>
      </c>
      <c r="D206" s="43" t="s">
        <v>186</v>
      </c>
      <c r="E206" s="67">
        <f>COUNTIFS('TOTAL KONTAK ERAT'!$F:$F,"Soko kidul")</f>
        <v>0</v>
      </c>
      <c r="F206" s="22"/>
      <c r="G206" s="23"/>
      <c r="H206" s="23"/>
      <c r="I206" s="23"/>
      <c r="J206" s="23"/>
      <c r="K206" s="23"/>
      <c r="L206" s="24"/>
      <c r="M206" s="24"/>
      <c r="N206" s="24"/>
      <c r="Q206" s="42">
        <f t="shared" si="3"/>
        <v>0</v>
      </c>
      <c r="R206" s="8"/>
    </row>
    <row r="207" spans="2:18" ht="15" customHeight="1" x14ac:dyDescent="0.25">
      <c r="B207" s="5"/>
      <c r="C207" s="18" t="s">
        <v>182</v>
      </c>
      <c r="D207" s="43" t="s">
        <v>187</v>
      </c>
      <c r="E207" s="67">
        <f>COUNTIFS('TOTAL KONTAK ERAT'!$F:$F,"Pilang wetan")</f>
        <v>0</v>
      </c>
      <c r="F207" s="22"/>
      <c r="G207" s="23"/>
      <c r="H207" s="23"/>
      <c r="I207" s="23"/>
      <c r="J207" s="23"/>
      <c r="K207" s="23"/>
      <c r="L207" s="24"/>
      <c r="M207" s="24"/>
      <c r="N207" s="24"/>
      <c r="Q207" s="42">
        <f t="shared" si="3"/>
        <v>0</v>
      </c>
      <c r="R207" s="8"/>
    </row>
    <row r="208" spans="2:18" ht="15" customHeight="1" x14ac:dyDescent="0.25">
      <c r="B208" s="5"/>
      <c r="C208" s="18" t="s">
        <v>182</v>
      </c>
      <c r="D208" s="43" t="s">
        <v>182</v>
      </c>
      <c r="E208" s="67">
        <f>COUNTIFS('TOTAL KONTAK ERAT'!$F:$F,"Kebonagung")</f>
        <v>0</v>
      </c>
      <c r="F208" s="22"/>
      <c r="G208" s="23"/>
      <c r="H208" s="23"/>
      <c r="I208" s="23"/>
      <c r="J208" s="23"/>
      <c r="K208" s="23"/>
      <c r="L208" s="24"/>
      <c r="M208" s="24"/>
      <c r="N208" s="24"/>
      <c r="Q208" s="42">
        <f t="shared" si="3"/>
        <v>0</v>
      </c>
      <c r="R208" s="8"/>
    </row>
    <row r="209" spans="2:18" ht="15" customHeight="1" x14ac:dyDescent="0.25">
      <c r="B209" s="5"/>
      <c r="C209" s="18" t="s">
        <v>182</v>
      </c>
      <c r="D209" s="43" t="s">
        <v>88</v>
      </c>
      <c r="E209" s="67">
        <f>COUNTIFS('TOTAL KONTAK ERAT'!$F:$F,"Mijen",'TOTAL KONTAK ERAT'!$E:$E,"kebonagung")</f>
        <v>0</v>
      </c>
      <c r="F209" s="22"/>
      <c r="G209" s="23"/>
      <c r="H209" s="23"/>
      <c r="I209" s="23"/>
      <c r="J209" s="23"/>
      <c r="K209" s="23"/>
      <c r="L209" s="24"/>
      <c r="M209" s="24"/>
      <c r="N209" s="24"/>
      <c r="Q209" s="42">
        <f t="shared" si="3"/>
        <v>0</v>
      </c>
      <c r="R209" s="8"/>
    </row>
    <row r="210" spans="2:18" ht="15" customHeight="1" x14ac:dyDescent="0.25">
      <c r="B210" s="5"/>
      <c r="C210" s="18" t="s">
        <v>182</v>
      </c>
      <c r="D210" s="43" t="s">
        <v>188</v>
      </c>
      <c r="E210" s="67">
        <f>COUNTIFS('TOTAL KONTAK ERAT'!$F:$F,"Klampok Lor")</f>
        <v>0</v>
      </c>
      <c r="F210" s="22"/>
      <c r="G210" s="23"/>
      <c r="H210" s="23"/>
      <c r="I210" s="23"/>
      <c r="J210" s="23"/>
      <c r="K210" s="23"/>
      <c r="L210" s="24"/>
      <c r="M210" s="24"/>
      <c r="N210" s="24"/>
      <c r="Q210" s="42">
        <f t="shared" si="3"/>
        <v>0</v>
      </c>
      <c r="R210" s="8"/>
    </row>
    <row r="211" spans="2:18" ht="15" customHeight="1" x14ac:dyDescent="0.25">
      <c r="B211" s="5"/>
      <c r="C211" s="18" t="s">
        <v>182</v>
      </c>
      <c r="D211" s="43" t="s">
        <v>189</v>
      </c>
      <c r="E211" s="67">
        <f>COUNTIFS('TOTAL KONTAK ERAT'!$F:$F,"Werdoyo")</f>
        <v>0</v>
      </c>
      <c r="F211" s="22"/>
      <c r="G211" s="23"/>
      <c r="H211" s="23"/>
      <c r="I211" s="23"/>
      <c r="J211" s="23"/>
      <c r="K211" s="23"/>
      <c r="L211" s="24"/>
      <c r="M211" s="24"/>
      <c r="N211" s="24"/>
      <c r="Q211" s="42">
        <f t="shared" si="3"/>
        <v>0</v>
      </c>
      <c r="R211" s="8"/>
    </row>
    <row r="212" spans="2:18" ht="15" customHeight="1" x14ac:dyDescent="0.25">
      <c r="B212" s="5"/>
      <c r="C212" s="18" t="s">
        <v>182</v>
      </c>
      <c r="D212" s="43" t="s">
        <v>190</v>
      </c>
      <c r="E212" s="67">
        <f>COUNTIFS('TOTAL KONTAK ERAT'!$F:$F,"Babat")</f>
        <v>0</v>
      </c>
      <c r="F212" s="22"/>
      <c r="G212" s="23"/>
      <c r="H212" s="23"/>
      <c r="I212" s="23"/>
      <c r="J212" s="23"/>
      <c r="K212" s="23"/>
      <c r="L212" s="24"/>
      <c r="M212" s="24"/>
      <c r="N212" s="24"/>
      <c r="Q212" s="42">
        <f t="shared" si="3"/>
        <v>0</v>
      </c>
      <c r="R212" s="8"/>
    </row>
    <row r="213" spans="2:18" ht="15" customHeight="1" x14ac:dyDescent="0.25">
      <c r="B213" s="5"/>
      <c r="C213" s="18" t="s">
        <v>182</v>
      </c>
      <c r="D213" s="43" t="s">
        <v>191</v>
      </c>
      <c r="E213" s="67">
        <f>COUNTIFS('TOTAL KONTAK ERAT'!$F:$F,"Prigi")</f>
        <v>0</v>
      </c>
      <c r="F213" s="22"/>
      <c r="G213" s="23"/>
      <c r="H213" s="23"/>
      <c r="I213" s="23"/>
      <c r="J213" s="23"/>
      <c r="K213" s="23"/>
      <c r="L213" s="24"/>
      <c r="M213" s="24"/>
      <c r="N213" s="24"/>
      <c r="Q213" s="42">
        <f t="shared" si="3"/>
        <v>0</v>
      </c>
      <c r="R213" s="8"/>
    </row>
    <row r="214" spans="2:18" ht="15" customHeight="1" x14ac:dyDescent="0.25">
      <c r="B214" s="5"/>
      <c r="C214" s="18" t="s">
        <v>182</v>
      </c>
      <c r="D214" s="43" t="s">
        <v>192</v>
      </c>
      <c r="E214" s="67">
        <f>COUNTIFS('TOTAL KONTAK ERAT'!$F:$F,"Sarimulyo")</f>
        <v>0</v>
      </c>
      <c r="F214" s="22"/>
      <c r="G214" s="23"/>
      <c r="H214" s="23"/>
      <c r="I214" s="23"/>
      <c r="J214" s="23"/>
      <c r="K214" s="23"/>
      <c r="L214" s="24"/>
      <c r="M214" s="24"/>
      <c r="N214" s="24"/>
      <c r="Q214" s="42">
        <f t="shared" si="3"/>
        <v>0</v>
      </c>
      <c r="R214" s="8"/>
    </row>
    <row r="215" spans="2:18" ht="15" customHeight="1" x14ac:dyDescent="0.25">
      <c r="B215" s="5"/>
      <c r="C215" s="18" t="s">
        <v>182</v>
      </c>
      <c r="D215" s="43" t="s">
        <v>193</v>
      </c>
      <c r="E215" s="67">
        <f>COUNTIFS('TOTAL KONTAK ERAT'!$F:$F,"Solowire")</f>
        <v>0</v>
      </c>
      <c r="F215" s="22"/>
      <c r="G215" s="23"/>
      <c r="H215" s="23"/>
      <c r="I215" s="23"/>
      <c r="J215" s="23"/>
      <c r="K215" s="23"/>
      <c r="L215" s="24"/>
      <c r="M215" s="24"/>
      <c r="N215" s="24"/>
      <c r="Q215" s="42">
        <f t="shared" si="3"/>
        <v>0</v>
      </c>
      <c r="R215" s="8"/>
    </row>
    <row r="216" spans="2:18" ht="15" customHeight="1" x14ac:dyDescent="0.25">
      <c r="B216" s="5"/>
      <c r="C216" s="18" t="s">
        <v>182</v>
      </c>
      <c r="D216" s="43" t="s">
        <v>194</v>
      </c>
      <c r="E216" s="67">
        <f>COUNTIFS('TOTAL KONTAK ERAT'!$F:$F,"Mangunan Lor")</f>
        <v>0</v>
      </c>
      <c r="F216" s="22"/>
      <c r="G216" s="23"/>
      <c r="H216" s="23"/>
      <c r="I216" s="23"/>
      <c r="J216" s="23"/>
      <c r="K216" s="23"/>
      <c r="L216" s="24"/>
      <c r="M216" s="24"/>
      <c r="N216" s="24"/>
      <c r="Q216" s="42">
        <f t="shared" si="3"/>
        <v>0</v>
      </c>
      <c r="R216" s="8"/>
    </row>
    <row r="217" spans="2:18" x14ac:dyDescent="0.25">
      <c r="B217" s="5">
        <v>13</v>
      </c>
      <c r="C217" s="18" t="s">
        <v>195</v>
      </c>
      <c r="D217" s="43" t="s">
        <v>196</v>
      </c>
      <c r="E217" s="67">
        <f>COUNTIFS('TOTAL KONTAK ERAT'!$F:$F,"Bedono")</f>
        <v>0</v>
      </c>
      <c r="F217" s="22" t="e">
        <f>SUM(#REF!)</f>
        <v>#REF!</v>
      </c>
      <c r="G217" s="22" t="e">
        <f>SUM(#REF!)</f>
        <v>#REF!</v>
      </c>
      <c r="H217" s="22" t="e">
        <f>SUM(#REF!)</f>
        <v>#REF!</v>
      </c>
      <c r="I217" s="22" t="e">
        <f>SUM(#REF!)</f>
        <v>#REF!</v>
      </c>
      <c r="J217" s="22" t="e">
        <f>SUM(#REF!)</f>
        <v>#REF!</v>
      </c>
      <c r="K217" s="22" t="e">
        <f>SUM(#REF!)</f>
        <v>#REF!</v>
      </c>
      <c r="L217" s="22" t="e">
        <f>SUM(#REF!)</f>
        <v>#REF!</v>
      </c>
      <c r="M217" s="22">
        <f>SUM(E217:E236)</f>
        <v>18</v>
      </c>
      <c r="N217" s="22" t="e">
        <f>SUM(#REF!)</f>
        <v>#REF!</v>
      </c>
      <c r="O217" s="41" t="s">
        <v>341</v>
      </c>
      <c r="Q217" s="42">
        <f t="shared" si="3"/>
        <v>0</v>
      </c>
      <c r="R217" s="125">
        <f>SUM(Q217:Q236)</f>
        <v>18</v>
      </c>
    </row>
    <row r="218" spans="2:18" x14ac:dyDescent="0.25">
      <c r="B218" s="5"/>
      <c r="C218" s="18" t="s">
        <v>195</v>
      </c>
      <c r="D218" s="43" t="s">
        <v>197</v>
      </c>
      <c r="E218" s="67">
        <f>COUNTIFS('TOTAL KONTAK ERAT'!$F:$F,"Gemulak")</f>
        <v>0</v>
      </c>
      <c r="F218" s="22"/>
      <c r="G218" s="23"/>
      <c r="H218" s="23" t="s">
        <v>300</v>
      </c>
      <c r="I218" s="23"/>
      <c r="J218" s="23"/>
      <c r="K218" s="23"/>
      <c r="L218" s="24"/>
      <c r="M218" s="24"/>
      <c r="N218" s="24"/>
      <c r="O218" s="61" t="s">
        <v>342</v>
      </c>
      <c r="Q218" s="42">
        <f t="shared" si="3"/>
        <v>0</v>
      </c>
      <c r="R218" s="8"/>
    </row>
    <row r="219" spans="2:18" x14ac:dyDescent="0.25">
      <c r="B219" s="5"/>
      <c r="C219" s="18" t="s">
        <v>195</v>
      </c>
      <c r="D219" s="43" t="s">
        <v>198</v>
      </c>
      <c r="E219" s="67">
        <f>COUNTIFS('TOTAL KONTAK ERAT'!$F:$F,"Sriwulan")</f>
        <v>0</v>
      </c>
      <c r="F219" s="22"/>
      <c r="G219" s="23"/>
      <c r="H219" s="23"/>
      <c r="I219" s="23"/>
      <c r="J219" s="23"/>
      <c r="K219" s="23"/>
      <c r="L219" s="24"/>
      <c r="M219" s="24"/>
      <c r="N219" s="24"/>
      <c r="O219" s="62" t="s">
        <v>337</v>
      </c>
      <c r="Q219" s="42">
        <f t="shared" si="3"/>
        <v>0</v>
      </c>
      <c r="R219" s="8"/>
    </row>
    <row r="220" spans="2:18" x14ac:dyDescent="0.25">
      <c r="B220" s="5"/>
      <c r="C220" s="18" t="s">
        <v>195</v>
      </c>
      <c r="D220" s="43" t="s">
        <v>199</v>
      </c>
      <c r="E220" s="67">
        <f>COUNTIFS('TOTAL KONTAK ERAT'!$F:$F,"Tugu")</f>
        <v>0</v>
      </c>
      <c r="F220" s="22"/>
      <c r="G220" s="23"/>
      <c r="H220" s="23"/>
      <c r="I220" s="23"/>
      <c r="J220" s="23"/>
      <c r="K220" s="23"/>
      <c r="L220" s="24"/>
      <c r="M220" s="24"/>
      <c r="N220" s="24"/>
      <c r="O220" s="41" t="s">
        <v>395</v>
      </c>
      <c r="Q220" s="42">
        <f t="shared" si="3"/>
        <v>0</v>
      </c>
      <c r="R220" s="8"/>
    </row>
    <row r="221" spans="2:18" x14ac:dyDescent="0.25">
      <c r="B221" s="5"/>
      <c r="C221" s="18" t="s">
        <v>195</v>
      </c>
      <c r="D221" s="43" t="s">
        <v>200</v>
      </c>
      <c r="E221" s="67">
        <f>COUNTIFS('TOTAL KONTAK ERAT'!$F:$F,"Purwosari")</f>
        <v>0</v>
      </c>
      <c r="F221" s="22"/>
      <c r="G221" s="23"/>
      <c r="H221" s="23"/>
      <c r="I221" s="23"/>
      <c r="J221" s="23"/>
      <c r="K221" s="23"/>
      <c r="L221" s="24"/>
      <c r="M221" s="24"/>
      <c r="N221" s="24"/>
      <c r="O221" s="62" t="s">
        <v>339</v>
      </c>
      <c r="Q221" s="42">
        <f t="shared" si="3"/>
        <v>0</v>
      </c>
      <c r="R221" s="8"/>
    </row>
    <row r="222" spans="2:18" x14ac:dyDescent="0.25">
      <c r="B222" s="5"/>
      <c r="C222" s="18" t="s">
        <v>195</v>
      </c>
      <c r="D222" s="43" t="s">
        <v>63</v>
      </c>
      <c r="E222" s="67">
        <f>COUNTIFS('TOTAL KONTAK ERAT'!$F:$F,"surodadi",'TOTAL KONTAK ERAT'!$E:$E,"sayung")</f>
        <v>0</v>
      </c>
      <c r="F222" s="22"/>
      <c r="G222" s="23"/>
      <c r="H222" s="23"/>
      <c r="I222" s="23"/>
      <c r="J222" s="23"/>
      <c r="K222" s="23"/>
      <c r="L222" s="24"/>
      <c r="M222" s="24"/>
      <c r="N222" s="24"/>
      <c r="O222" s="34" t="s">
        <v>352</v>
      </c>
      <c r="Q222" s="42">
        <f t="shared" si="3"/>
        <v>0</v>
      </c>
      <c r="R222" s="8"/>
    </row>
    <row r="223" spans="2:18" x14ac:dyDescent="0.25">
      <c r="B223" s="5"/>
      <c r="C223" s="18" t="s">
        <v>195</v>
      </c>
      <c r="D223" s="43" t="s">
        <v>164</v>
      </c>
      <c r="E223" s="67">
        <f>COUNTIFS('TOTAL KONTAK ERAT'!$F:$F,"sidorejo",'TOTAL KONTAK ERAT'!$E:$E,"sayung")</f>
        <v>0</v>
      </c>
      <c r="F223" s="22"/>
      <c r="G223" s="23"/>
      <c r="H223" s="23"/>
      <c r="I223" s="23"/>
      <c r="J223" s="23"/>
      <c r="K223" s="23"/>
      <c r="L223" s="24"/>
      <c r="M223" s="24"/>
      <c r="N223" s="24"/>
      <c r="O223" s="34" t="s">
        <v>352</v>
      </c>
      <c r="Q223" s="42">
        <f t="shared" si="3"/>
        <v>0</v>
      </c>
      <c r="R223" s="8"/>
    </row>
    <row r="224" spans="2:18" x14ac:dyDescent="0.25">
      <c r="B224" s="5"/>
      <c r="C224" s="18" t="s">
        <v>195</v>
      </c>
      <c r="D224" s="43" t="s">
        <v>201</v>
      </c>
      <c r="E224" s="67">
        <f>COUNTIFS('TOTAL KONTAK ERAT'!$F:$F,"Timbulsloko")</f>
        <v>5</v>
      </c>
      <c r="F224" s="22"/>
      <c r="G224" s="23"/>
      <c r="H224" s="23"/>
      <c r="I224" s="23"/>
      <c r="J224" s="23"/>
      <c r="K224" s="23"/>
      <c r="L224" s="24"/>
      <c r="M224" s="24"/>
      <c r="N224" s="24"/>
      <c r="O224" s="62" t="s">
        <v>339</v>
      </c>
      <c r="Q224" s="42">
        <f t="shared" si="3"/>
        <v>5</v>
      </c>
      <c r="R224" s="8"/>
    </row>
    <row r="225" spans="2:18" x14ac:dyDescent="0.25">
      <c r="B225" s="5"/>
      <c r="C225" s="18" t="s">
        <v>195</v>
      </c>
      <c r="D225" s="43" t="s">
        <v>57</v>
      </c>
      <c r="E225" s="67">
        <f>COUNTIFS('TOTAL KONTAK ERAT'!$F:$F,"banjarsari",'TOTAL KONTAK ERAT'!$E:$E,"sayung")</f>
        <v>0</v>
      </c>
      <c r="F225" s="22"/>
      <c r="G225" s="23"/>
      <c r="H225" s="23"/>
      <c r="I225" s="23"/>
      <c r="J225" s="23"/>
      <c r="K225" s="23"/>
      <c r="L225" s="24"/>
      <c r="M225" s="24"/>
      <c r="N225" s="24"/>
      <c r="O225" s="41" t="s">
        <v>370</v>
      </c>
      <c r="Q225" s="42">
        <f t="shared" si="3"/>
        <v>0</v>
      </c>
      <c r="R225" s="8"/>
    </row>
    <row r="226" spans="2:18" x14ac:dyDescent="0.25">
      <c r="B226" s="5"/>
      <c r="C226" s="18" t="s">
        <v>195</v>
      </c>
      <c r="D226" s="43" t="s">
        <v>202</v>
      </c>
      <c r="E226" s="67">
        <f>COUNTIFS('TOTAL KONTAK ERAT'!$F:$F,"sidogemah")</f>
        <v>0</v>
      </c>
      <c r="F226" s="22"/>
      <c r="G226" s="23"/>
      <c r="H226" s="23"/>
      <c r="I226" s="23"/>
      <c r="J226" s="23"/>
      <c r="K226" s="23"/>
      <c r="L226" s="24"/>
      <c r="M226" s="24"/>
      <c r="N226" s="24"/>
      <c r="O226" s="62" t="s">
        <v>340</v>
      </c>
      <c r="Q226" s="42">
        <f t="shared" si="3"/>
        <v>0</v>
      </c>
      <c r="R226" s="8"/>
    </row>
    <row r="227" spans="2:18" x14ac:dyDescent="0.25">
      <c r="B227" s="5"/>
      <c r="C227" s="18" t="s">
        <v>195</v>
      </c>
      <c r="D227" s="43" t="s">
        <v>203</v>
      </c>
      <c r="E227" s="67">
        <f>COUNTIFS('TOTAL KONTAK ERAT'!$F:$F,"Tambakroto")</f>
        <v>1</v>
      </c>
      <c r="F227" s="22"/>
      <c r="G227" s="23"/>
      <c r="H227" s="23"/>
      <c r="I227" s="23"/>
      <c r="J227" s="23"/>
      <c r="K227" s="23"/>
      <c r="L227" s="24"/>
      <c r="M227" s="24"/>
      <c r="N227" s="24"/>
      <c r="O227" s="62" t="s">
        <v>339</v>
      </c>
      <c r="Q227" s="42">
        <f t="shared" si="3"/>
        <v>1</v>
      </c>
      <c r="R227" s="8"/>
    </row>
    <row r="228" spans="2:18" x14ac:dyDescent="0.25">
      <c r="B228" s="5"/>
      <c r="C228" s="18" t="s">
        <v>195</v>
      </c>
      <c r="D228" s="43" t="s">
        <v>204</v>
      </c>
      <c r="E228" s="67">
        <f>COUNTIFS('TOTAL KONTAK ERAT'!$F:$F,"Kalisari")</f>
        <v>3</v>
      </c>
      <c r="F228" s="22"/>
      <c r="G228" s="23"/>
      <c r="H228" s="23"/>
      <c r="I228" s="23"/>
      <c r="J228" s="23"/>
      <c r="K228" s="23"/>
      <c r="L228" s="24"/>
      <c r="M228" s="24"/>
      <c r="N228" s="24"/>
      <c r="Q228" s="42">
        <f t="shared" si="3"/>
        <v>3</v>
      </c>
      <c r="R228" s="8"/>
    </row>
    <row r="229" spans="2:18" x14ac:dyDescent="0.25">
      <c r="B229" s="5"/>
      <c r="C229" s="18" t="s">
        <v>195</v>
      </c>
      <c r="D229" s="43" t="s">
        <v>205</v>
      </c>
      <c r="E229" s="67">
        <f>COUNTIFS('TOTAL KONTAK ERAT'!$F:$F,"Dombo")</f>
        <v>0</v>
      </c>
      <c r="F229" s="22"/>
      <c r="G229" s="23"/>
      <c r="H229" s="23"/>
      <c r="I229" s="23"/>
      <c r="J229" s="23"/>
      <c r="K229" s="23"/>
      <c r="L229" s="24"/>
      <c r="M229" s="24"/>
      <c r="N229" s="24"/>
      <c r="Q229" s="42">
        <f t="shared" si="3"/>
        <v>0</v>
      </c>
      <c r="R229" s="8"/>
    </row>
    <row r="230" spans="2:18" x14ac:dyDescent="0.25">
      <c r="B230" s="5"/>
      <c r="C230" s="18" t="s">
        <v>195</v>
      </c>
      <c r="D230" s="43" t="s">
        <v>206</v>
      </c>
      <c r="E230" s="67">
        <f>COUNTIFS('TOTAL KONTAK ERAT'!$F:$F,"Bulusari")</f>
        <v>0</v>
      </c>
      <c r="F230" s="22"/>
      <c r="G230" s="23"/>
      <c r="H230" s="23"/>
      <c r="I230" s="23"/>
      <c r="J230" s="23"/>
      <c r="K230" s="23"/>
      <c r="L230" s="24"/>
      <c r="M230" s="24"/>
      <c r="N230" s="24"/>
      <c r="Q230" s="42">
        <f t="shared" si="3"/>
        <v>0</v>
      </c>
      <c r="R230" s="8"/>
    </row>
    <row r="231" spans="2:18" x14ac:dyDescent="0.25">
      <c r="B231" s="5"/>
      <c r="C231" s="18" t="s">
        <v>195</v>
      </c>
      <c r="D231" s="43" t="s">
        <v>207</v>
      </c>
      <c r="E231" s="67">
        <f>COUNTIFS('TOTAL KONTAK ERAT'!$F:$F,"Jetaksari")</f>
        <v>2</v>
      </c>
      <c r="F231" s="22"/>
      <c r="G231" s="23"/>
      <c r="H231" s="23"/>
      <c r="I231" s="23"/>
      <c r="J231" s="23"/>
      <c r="K231" s="23"/>
      <c r="L231" s="24"/>
      <c r="M231" s="24"/>
      <c r="N231" s="24"/>
      <c r="Q231" s="42">
        <f t="shared" si="3"/>
        <v>2</v>
      </c>
      <c r="R231" s="8"/>
    </row>
    <row r="232" spans="2:18" x14ac:dyDescent="0.25">
      <c r="B232" s="5"/>
      <c r="C232" s="18" t="s">
        <v>195</v>
      </c>
      <c r="D232" s="43" t="s">
        <v>208</v>
      </c>
      <c r="E232" s="67">
        <f>COUNTIFS('TOTAL KONTAK ERAT'!$F:$F,"Karangasem")</f>
        <v>0</v>
      </c>
      <c r="F232" s="22"/>
      <c r="G232" s="23"/>
      <c r="H232" s="23"/>
      <c r="I232" s="23"/>
      <c r="J232" s="23"/>
      <c r="K232" s="23"/>
      <c r="L232" s="24"/>
      <c r="M232" s="24"/>
      <c r="N232" s="24"/>
      <c r="Q232" s="42">
        <f t="shared" si="3"/>
        <v>0</v>
      </c>
      <c r="R232" s="8"/>
    </row>
    <row r="233" spans="2:18" x14ac:dyDescent="0.25">
      <c r="B233" s="5"/>
      <c r="C233" s="18" t="s">
        <v>195</v>
      </c>
      <c r="D233" s="43" t="s">
        <v>209</v>
      </c>
      <c r="E233" s="67">
        <f>COUNTIFS('TOTAL KONTAK ERAT'!$F:$F,"Prampelan")</f>
        <v>3</v>
      </c>
      <c r="F233" s="22"/>
      <c r="G233" s="23"/>
      <c r="H233" s="23"/>
      <c r="I233" s="23"/>
      <c r="J233" s="23"/>
      <c r="K233" s="23"/>
      <c r="L233" s="24"/>
      <c r="M233" s="24"/>
      <c r="N233" s="24"/>
      <c r="Q233" s="42">
        <f t="shared" si="3"/>
        <v>3</v>
      </c>
      <c r="R233" s="8"/>
    </row>
    <row r="234" spans="2:18" x14ac:dyDescent="0.25">
      <c r="B234" s="5"/>
      <c r="C234" s="18" t="s">
        <v>195</v>
      </c>
      <c r="D234" s="43" t="s">
        <v>210</v>
      </c>
      <c r="E234" s="67">
        <f>COUNTIFS('TOTAL KONTAK ERAT'!$F:$F,"Sayung")</f>
        <v>1</v>
      </c>
      <c r="F234" s="22"/>
      <c r="G234" s="23"/>
      <c r="H234" s="23"/>
      <c r="I234" s="23"/>
      <c r="J234" s="23"/>
      <c r="K234" s="23"/>
      <c r="L234" s="24"/>
      <c r="M234" s="24"/>
      <c r="N234" s="24"/>
      <c r="Q234" s="42">
        <f t="shared" si="3"/>
        <v>1</v>
      </c>
      <c r="R234" s="8"/>
    </row>
    <row r="235" spans="2:18" x14ac:dyDescent="0.25">
      <c r="B235" s="5"/>
      <c r="C235" s="18" t="s">
        <v>195</v>
      </c>
      <c r="D235" s="43" t="s">
        <v>211</v>
      </c>
      <c r="E235" s="67">
        <f>COUNTIFS('TOTAL KONTAK ERAT'!$F:$F,"Pilangsari")</f>
        <v>2</v>
      </c>
      <c r="F235" s="22"/>
      <c r="G235" s="23"/>
      <c r="H235" s="23"/>
      <c r="I235" s="23"/>
      <c r="J235" s="23"/>
      <c r="K235" s="23"/>
      <c r="L235" s="24"/>
      <c r="M235" s="24"/>
      <c r="N235" s="24"/>
      <c r="Q235" s="42">
        <f t="shared" si="3"/>
        <v>2</v>
      </c>
      <c r="R235" s="8"/>
    </row>
    <row r="236" spans="2:18" x14ac:dyDescent="0.25">
      <c r="B236" s="5"/>
      <c r="C236" s="18" t="s">
        <v>195</v>
      </c>
      <c r="D236" s="43" t="s">
        <v>212</v>
      </c>
      <c r="E236" s="67">
        <f>COUNTIFS('TOTAL KONTAK ERAT'!$F:$F,"loireng")</f>
        <v>1</v>
      </c>
      <c r="F236" s="22"/>
      <c r="G236" s="23"/>
      <c r="H236" s="23"/>
      <c r="I236" s="23"/>
      <c r="J236" s="23"/>
      <c r="K236" s="23"/>
      <c r="L236" s="24"/>
      <c r="M236" s="24"/>
      <c r="N236" s="24"/>
      <c r="Q236" s="42">
        <f t="shared" si="3"/>
        <v>1</v>
      </c>
      <c r="R236" s="8"/>
    </row>
    <row r="237" spans="2:18" x14ac:dyDescent="0.25">
      <c r="B237" s="5">
        <v>14</v>
      </c>
      <c r="C237" s="18" t="s">
        <v>213</v>
      </c>
      <c r="D237" s="43" t="s">
        <v>213</v>
      </c>
      <c r="E237" s="67">
        <f>COUNTIFS('TOTAL KONTAK ERAT'!$F:$F,"Wedung")</f>
        <v>0</v>
      </c>
      <c r="F237" s="22" t="e">
        <f>SUM(#REF!)</f>
        <v>#REF!</v>
      </c>
      <c r="G237" s="22" t="e">
        <f>SUM(#REF!)</f>
        <v>#REF!</v>
      </c>
      <c r="H237" s="22" t="e">
        <f>SUM(#REF!)</f>
        <v>#REF!</v>
      </c>
      <c r="I237" s="22" t="e">
        <f>SUM(#REF!)</f>
        <v>#REF!</v>
      </c>
      <c r="J237" s="22" t="e">
        <f>SUM(#REF!)</f>
        <v>#REF!</v>
      </c>
      <c r="K237" s="22" t="e">
        <f>SUM(#REF!)</f>
        <v>#REF!</v>
      </c>
      <c r="L237" s="22" t="e">
        <f>SUM(#REF!)</f>
        <v>#REF!</v>
      </c>
      <c r="M237" s="22">
        <f>SUM(E237:E256)</f>
        <v>0</v>
      </c>
      <c r="N237" s="22" t="e">
        <f>SUM(#REF!)</f>
        <v>#REF!</v>
      </c>
      <c r="Q237" s="42">
        <f t="shared" si="3"/>
        <v>0</v>
      </c>
      <c r="R237" s="125">
        <f>SUM(Q237:Q256)</f>
        <v>0</v>
      </c>
    </row>
    <row r="238" spans="2:18" x14ac:dyDescent="0.25">
      <c r="B238" s="5"/>
      <c r="C238" s="18" t="s">
        <v>213</v>
      </c>
      <c r="D238" s="43" t="s">
        <v>214</v>
      </c>
      <c r="E238" s="67">
        <f>COUNTIFS('TOTAL KONTAK ERAT'!$F:$F,"Ruwit")</f>
        <v>0</v>
      </c>
      <c r="F238" s="22"/>
      <c r="G238" s="23"/>
      <c r="H238" s="23"/>
      <c r="I238" s="23"/>
      <c r="J238" s="23"/>
      <c r="K238" s="23"/>
      <c r="L238" s="24"/>
      <c r="M238" s="24"/>
      <c r="N238" s="24"/>
      <c r="Q238" s="42">
        <f t="shared" si="3"/>
        <v>0</v>
      </c>
      <c r="R238" s="8"/>
    </row>
    <row r="239" spans="2:18" x14ac:dyDescent="0.25">
      <c r="B239" s="5"/>
      <c r="C239" s="18" t="s">
        <v>213</v>
      </c>
      <c r="D239" s="43" t="s">
        <v>215</v>
      </c>
      <c r="E239" s="67">
        <f>COUNTIFS('TOTAL KONTAK ERAT'!$F:$F,"Bungo")</f>
        <v>0</v>
      </c>
      <c r="F239" s="22"/>
      <c r="G239" s="23"/>
      <c r="H239" s="23"/>
      <c r="I239" s="23"/>
      <c r="J239" s="23"/>
      <c r="K239" s="23"/>
      <c r="L239" s="24"/>
      <c r="M239" s="24"/>
      <c r="N239" s="24"/>
      <c r="Q239" s="42">
        <f t="shared" si="3"/>
        <v>0</v>
      </c>
      <c r="R239" s="8"/>
    </row>
    <row r="240" spans="2:18" x14ac:dyDescent="0.25">
      <c r="B240" s="5"/>
      <c r="C240" s="18" t="s">
        <v>213</v>
      </c>
      <c r="D240" s="43" t="s">
        <v>216</v>
      </c>
      <c r="E240" s="67">
        <f>COUNTIFS('TOTAL KONTAK ERAT'!$F:$F,"Ngawen")</f>
        <v>0</v>
      </c>
      <c r="F240" s="22"/>
      <c r="G240" s="23"/>
      <c r="H240" s="23"/>
      <c r="I240" s="23"/>
      <c r="J240" s="23"/>
      <c r="K240" s="23"/>
      <c r="L240" s="24"/>
      <c r="M240" s="24"/>
      <c r="N240" s="24"/>
      <c r="Q240" s="42">
        <f t="shared" si="3"/>
        <v>0</v>
      </c>
      <c r="R240" s="8"/>
    </row>
    <row r="241" spans="2:18" x14ac:dyDescent="0.25">
      <c r="B241" s="5"/>
      <c r="C241" s="18" t="s">
        <v>213</v>
      </c>
      <c r="D241" s="43" t="s">
        <v>217</v>
      </c>
      <c r="E241" s="67">
        <f>COUNTIFS('TOTAL KONTAK ERAT'!$F:$F,"Kenduren")</f>
        <v>0</v>
      </c>
      <c r="F241" s="22"/>
      <c r="G241" s="23"/>
      <c r="H241" s="23"/>
      <c r="I241" s="23"/>
      <c r="J241" s="23"/>
      <c r="K241" s="23"/>
      <c r="L241" s="24"/>
      <c r="M241" s="24"/>
      <c r="N241" s="24"/>
      <c r="Q241" s="42">
        <f t="shared" si="3"/>
        <v>0</v>
      </c>
      <c r="R241" s="8"/>
    </row>
    <row r="242" spans="2:18" x14ac:dyDescent="0.25">
      <c r="B242" s="5"/>
      <c r="C242" s="18" t="s">
        <v>213</v>
      </c>
      <c r="D242" s="43" t="s">
        <v>218</v>
      </c>
      <c r="E242" s="67">
        <f>COUNTIFS('TOTAL KONTAK ERAT'!$F:$F,"Buko")</f>
        <v>0</v>
      </c>
      <c r="F242" s="22"/>
      <c r="G242" s="23"/>
      <c r="H242" s="23"/>
      <c r="I242" s="23"/>
      <c r="J242" s="23"/>
      <c r="K242" s="23"/>
      <c r="L242" s="24"/>
      <c r="M242" s="24"/>
      <c r="N242" s="24"/>
      <c r="Q242" s="42">
        <f t="shared" si="3"/>
        <v>0</v>
      </c>
      <c r="R242" s="8"/>
    </row>
    <row r="243" spans="2:18" x14ac:dyDescent="0.25">
      <c r="B243" s="5"/>
      <c r="C243" s="18" t="s">
        <v>213</v>
      </c>
      <c r="D243" s="43" t="s">
        <v>219</v>
      </c>
      <c r="E243" s="67">
        <f>COUNTIFS('TOTAL KONTAK ERAT'!$F:$F,"Mandung")</f>
        <v>0</v>
      </c>
      <c r="F243" s="22"/>
      <c r="G243" s="23"/>
      <c r="H243" s="23"/>
      <c r="I243" s="23"/>
      <c r="J243" s="23"/>
      <c r="K243" s="23"/>
      <c r="L243" s="24"/>
      <c r="M243" s="24"/>
      <c r="N243" s="24"/>
      <c r="Q243" s="42">
        <f t="shared" si="3"/>
        <v>0</v>
      </c>
      <c r="R243" s="8"/>
    </row>
    <row r="244" spans="2:18" x14ac:dyDescent="0.25">
      <c r="B244" s="5"/>
      <c r="C244" s="18" t="s">
        <v>213</v>
      </c>
      <c r="D244" s="43" t="s">
        <v>220</v>
      </c>
      <c r="E244" s="67">
        <f>COUNTIFS('TOTAL KONTAK ERAT'!$F:$F,"Berahan Wetan")</f>
        <v>0</v>
      </c>
      <c r="F244" s="22"/>
      <c r="G244" s="23"/>
      <c r="H244" s="23"/>
      <c r="I244" s="23"/>
      <c r="J244" s="23"/>
      <c r="K244" s="23"/>
      <c r="L244" s="24"/>
      <c r="M244" s="24"/>
      <c r="N244" s="24"/>
      <c r="Q244" s="42">
        <f t="shared" si="3"/>
        <v>0</v>
      </c>
      <c r="R244" s="8"/>
    </row>
    <row r="245" spans="2:18" x14ac:dyDescent="0.25">
      <c r="B245" s="5"/>
      <c r="C245" s="18" t="s">
        <v>213</v>
      </c>
      <c r="D245" s="43" t="s">
        <v>221</v>
      </c>
      <c r="E245" s="67">
        <f>COUNTIFS('TOTAL KONTAK ERAT'!$F:$F,"Berahan Kulon")</f>
        <v>0</v>
      </c>
      <c r="F245" s="22"/>
      <c r="G245" s="23"/>
      <c r="H245" s="23"/>
      <c r="I245" s="23"/>
      <c r="J245" s="23"/>
      <c r="K245" s="23"/>
      <c r="L245" s="24"/>
      <c r="M245" s="24"/>
      <c r="N245" s="24"/>
      <c r="Q245" s="42">
        <f t="shared" si="3"/>
        <v>0</v>
      </c>
      <c r="R245" s="8"/>
    </row>
    <row r="246" spans="2:18" x14ac:dyDescent="0.25">
      <c r="B246" s="5"/>
      <c r="C246" s="18" t="s">
        <v>213</v>
      </c>
      <c r="D246" s="43" t="s">
        <v>222</v>
      </c>
      <c r="E246" s="67">
        <f>COUNTIFS('TOTAL KONTAK ERAT'!$F:$F,"Tempel")</f>
        <v>0</v>
      </c>
      <c r="F246" s="22"/>
      <c r="G246" s="23"/>
      <c r="H246" s="23"/>
      <c r="I246" s="23"/>
      <c r="J246" s="23"/>
      <c r="K246" s="23"/>
      <c r="L246" s="24"/>
      <c r="M246" s="24"/>
      <c r="N246" s="24"/>
      <c r="Q246" s="42">
        <f t="shared" si="3"/>
        <v>0</v>
      </c>
      <c r="R246" s="8"/>
    </row>
    <row r="247" spans="2:18" x14ac:dyDescent="0.25">
      <c r="B247" s="5"/>
      <c r="C247" s="18" t="s">
        <v>213</v>
      </c>
      <c r="D247" s="43" t="s">
        <v>278</v>
      </c>
      <c r="E247" s="67">
        <f>COUNTIFS('TOTAL KONTAK ERAT'!$F:$F,"Kedungkarang")</f>
        <v>0</v>
      </c>
      <c r="F247" s="22"/>
      <c r="G247" s="23"/>
      <c r="H247" s="23"/>
      <c r="I247" s="23"/>
      <c r="J247" s="23"/>
      <c r="K247" s="23"/>
      <c r="L247" s="24"/>
      <c r="M247" s="24"/>
      <c r="N247" s="24"/>
      <c r="Q247" s="42">
        <f t="shared" si="3"/>
        <v>0</v>
      </c>
      <c r="R247" s="8"/>
    </row>
    <row r="248" spans="2:18" x14ac:dyDescent="0.25">
      <c r="B248" s="5"/>
      <c r="C248" s="18" t="s">
        <v>213</v>
      </c>
      <c r="D248" s="43" t="s">
        <v>277</v>
      </c>
      <c r="E248" s="67">
        <f>COUNTIFS('TOTAL KONTAK ERAT'!$F:$F,"Kedungmutih")</f>
        <v>0</v>
      </c>
      <c r="F248" s="22"/>
      <c r="G248" s="23"/>
      <c r="H248" s="23"/>
      <c r="I248" s="23"/>
      <c r="J248" s="23"/>
      <c r="K248" s="23"/>
      <c r="L248" s="24"/>
      <c r="M248" s="24"/>
      <c r="N248" s="24"/>
      <c r="Q248" s="42">
        <f t="shared" si="3"/>
        <v>0</v>
      </c>
      <c r="R248" s="8"/>
    </row>
    <row r="249" spans="2:18" x14ac:dyDescent="0.25">
      <c r="B249" s="5"/>
      <c r="C249" s="18" t="s">
        <v>213</v>
      </c>
      <c r="D249" s="43" t="s">
        <v>223</v>
      </c>
      <c r="E249" s="67">
        <f>COUNTIFS('TOTAL KONTAK ERAT'!$F:$F,"Jungsemi")</f>
        <v>0</v>
      </c>
      <c r="F249" s="22"/>
      <c r="G249" s="23"/>
      <c r="H249" s="23"/>
      <c r="I249" s="23"/>
      <c r="J249" s="23"/>
      <c r="K249" s="23"/>
      <c r="L249" s="24"/>
      <c r="M249" s="24"/>
      <c r="N249" s="24"/>
      <c r="Q249" s="42">
        <f t="shared" si="3"/>
        <v>0</v>
      </c>
      <c r="R249" s="8"/>
    </row>
    <row r="250" spans="2:18" x14ac:dyDescent="0.25">
      <c r="B250" s="5"/>
      <c r="C250" s="18" t="s">
        <v>213</v>
      </c>
      <c r="D250" s="43" t="s">
        <v>224</v>
      </c>
      <c r="E250" s="67">
        <f>COUNTIFS('TOTAL KONTAK ERAT'!$F:$F,"Jetak")</f>
        <v>0</v>
      </c>
      <c r="F250" s="22"/>
      <c r="G250" s="23"/>
      <c r="H250" s="23"/>
      <c r="I250" s="23"/>
      <c r="J250" s="23"/>
      <c r="K250" s="23"/>
      <c r="L250" s="24"/>
      <c r="M250" s="24"/>
      <c r="N250" s="24"/>
      <c r="Q250" s="42">
        <f t="shared" si="3"/>
        <v>0</v>
      </c>
      <c r="R250" s="8"/>
    </row>
    <row r="251" spans="2:18" x14ac:dyDescent="0.25">
      <c r="B251" s="5"/>
      <c r="C251" s="18" t="s">
        <v>213</v>
      </c>
      <c r="D251" s="43" t="s">
        <v>225</v>
      </c>
      <c r="E251" s="67">
        <f>COUNTIFS('TOTAL KONTAK ERAT'!$F:$F,"Jungpasir")</f>
        <v>0</v>
      </c>
      <c r="F251" s="22"/>
      <c r="G251" s="23"/>
      <c r="H251" s="23"/>
      <c r="I251" s="23"/>
      <c r="J251" s="23"/>
      <c r="K251" s="23"/>
      <c r="L251" s="24"/>
      <c r="M251" s="24"/>
      <c r="N251" s="24"/>
      <c r="Q251" s="42">
        <f t="shared" si="3"/>
        <v>0</v>
      </c>
      <c r="R251" s="8"/>
    </row>
    <row r="252" spans="2:18" x14ac:dyDescent="0.25">
      <c r="B252" s="5"/>
      <c r="C252" s="18" t="s">
        <v>213</v>
      </c>
      <c r="D252" s="43" t="s">
        <v>226</v>
      </c>
      <c r="E252" s="67">
        <f>COUNTIFS('TOTAL KONTAK ERAT'!$F:$F,"Mutih kulon")</f>
        <v>0</v>
      </c>
      <c r="F252" s="22"/>
      <c r="G252" s="23"/>
      <c r="H252" s="23"/>
      <c r="I252" s="23"/>
      <c r="J252" s="23"/>
      <c r="K252" s="23"/>
      <c r="L252" s="24"/>
      <c r="M252" s="24"/>
      <c r="N252" s="24"/>
      <c r="Q252" s="42">
        <f t="shared" si="3"/>
        <v>0</v>
      </c>
      <c r="R252" s="8"/>
    </row>
    <row r="253" spans="2:18" x14ac:dyDescent="0.25">
      <c r="B253" s="5"/>
      <c r="C253" s="18" t="s">
        <v>213</v>
      </c>
      <c r="D253" s="43" t="s">
        <v>227</v>
      </c>
      <c r="E253" s="67">
        <f>COUNTIFS('TOTAL KONTAK ERAT'!$F:$F,"Mutih Wetan")</f>
        <v>0</v>
      </c>
      <c r="F253" s="22"/>
      <c r="G253" s="23"/>
      <c r="H253" s="23"/>
      <c r="I253" s="23"/>
      <c r="J253" s="23"/>
      <c r="K253" s="23"/>
      <c r="L253" s="24"/>
      <c r="M253" s="24"/>
      <c r="N253" s="24"/>
      <c r="Q253" s="42">
        <f t="shared" si="3"/>
        <v>0</v>
      </c>
      <c r="R253" s="8"/>
    </row>
    <row r="254" spans="2:18" x14ac:dyDescent="0.25">
      <c r="B254" s="5"/>
      <c r="C254" s="18" t="s">
        <v>213</v>
      </c>
      <c r="D254" s="43" t="s">
        <v>228</v>
      </c>
      <c r="E254" s="67">
        <f>COUNTIFS('TOTAL KONTAK ERAT'!$F:$F,"Kendalasem")</f>
        <v>0</v>
      </c>
      <c r="F254" s="22"/>
      <c r="G254" s="23"/>
      <c r="H254" s="23"/>
      <c r="I254" s="23"/>
      <c r="J254" s="23"/>
      <c r="K254" s="23"/>
      <c r="L254" s="24"/>
      <c r="M254" s="24"/>
      <c r="N254" s="24"/>
      <c r="Q254" s="42">
        <f t="shared" si="3"/>
        <v>0</v>
      </c>
      <c r="R254" s="8"/>
    </row>
    <row r="255" spans="2:18" x14ac:dyDescent="0.25">
      <c r="B255" s="5"/>
      <c r="C255" s="18" t="s">
        <v>213</v>
      </c>
      <c r="D255" s="43" t="s">
        <v>229</v>
      </c>
      <c r="E255" s="67">
        <f>COUNTIFS('TOTAL KONTAK ERAT'!$F:$F,"Babalan")</f>
        <v>0</v>
      </c>
      <c r="F255" s="22"/>
      <c r="G255" s="23"/>
      <c r="H255" s="23"/>
      <c r="I255" s="23"/>
      <c r="J255" s="23"/>
      <c r="K255" s="23"/>
      <c r="L255" s="24"/>
      <c r="M255" s="24"/>
      <c r="N255" s="24"/>
      <c r="Q255" s="42">
        <f t="shared" si="3"/>
        <v>0</v>
      </c>
      <c r="R255" s="8"/>
    </row>
    <row r="256" spans="2:18" x14ac:dyDescent="0.25">
      <c r="B256" s="5"/>
      <c r="C256" s="18" t="s">
        <v>213</v>
      </c>
      <c r="D256" s="43" t="s">
        <v>230</v>
      </c>
      <c r="E256" s="67">
        <f>COUNTIFS('TOTAL KONTAK ERAT'!$F:$F,"Tedunan")</f>
        <v>0</v>
      </c>
      <c r="F256" s="22"/>
      <c r="G256" s="23"/>
      <c r="H256" s="23"/>
      <c r="I256" s="23"/>
      <c r="J256" s="23"/>
      <c r="K256" s="23"/>
      <c r="L256" s="24"/>
      <c r="M256" s="24"/>
      <c r="N256" s="24"/>
      <c r="Q256" s="42">
        <f t="shared" si="3"/>
        <v>0</v>
      </c>
      <c r="R256" s="8"/>
    </row>
    <row r="257" spans="2:18" x14ac:dyDescent="0.25">
      <c r="B257" s="17"/>
      <c r="C257" s="2" t="s">
        <v>293</v>
      </c>
      <c r="D257" s="52"/>
      <c r="E257" s="16">
        <v>0</v>
      </c>
      <c r="F257" s="27" t="e">
        <f>#REF!</f>
        <v>#REF!</v>
      </c>
      <c r="G257" s="27" t="e">
        <f>#REF!</f>
        <v>#REF!</v>
      </c>
      <c r="H257" s="27" t="e">
        <f>#REF!</f>
        <v>#REF!</v>
      </c>
      <c r="I257" s="27" t="e">
        <f>#REF!</f>
        <v>#REF!</v>
      </c>
      <c r="J257" s="27" t="e">
        <f>#REF!</f>
        <v>#REF!</v>
      </c>
      <c r="K257" s="27" t="e">
        <f>#REF!</f>
        <v>#REF!</v>
      </c>
      <c r="L257" s="27" t="e">
        <f>#REF!</f>
        <v>#REF!</v>
      </c>
      <c r="M257" s="27">
        <f>E257</f>
        <v>0</v>
      </c>
      <c r="N257" s="27" t="e">
        <f>#REF!</f>
        <v>#REF!</v>
      </c>
      <c r="Q257" s="42">
        <f t="shared" si="3"/>
        <v>0</v>
      </c>
      <c r="R257" s="8">
        <f>E257</f>
        <v>0</v>
      </c>
    </row>
    <row r="258" spans="2:18" ht="15" customHeight="1" x14ac:dyDescent="0.25">
      <c r="B258" s="107" t="s">
        <v>231</v>
      </c>
      <c r="C258" s="108"/>
      <c r="D258" s="44"/>
      <c r="E258" s="31">
        <f t="shared" ref="E258" si="4">SUM(E8:E257)</f>
        <v>21</v>
      </c>
      <c r="F258" s="25" t="e">
        <f t="shared" ref="F258:N258" si="5">SUM(F8:F257)</f>
        <v>#REF!</v>
      </c>
      <c r="G258" s="25" t="e">
        <f t="shared" si="5"/>
        <v>#REF!</v>
      </c>
      <c r="H258" s="25" t="e">
        <f t="shared" si="5"/>
        <v>#REF!</v>
      </c>
      <c r="I258" s="25" t="e">
        <f t="shared" si="5"/>
        <v>#REF!</v>
      </c>
      <c r="J258" s="25" t="e">
        <f t="shared" si="5"/>
        <v>#REF!</v>
      </c>
      <c r="K258" s="25" t="e">
        <f t="shared" si="5"/>
        <v>#REF!</v>
      </c>
      <c r="L258" s="25" t="e">
        <f t="shared" si="5"/>
        <v>#REF!</v>
      </c>
      <c r="M258" s="25">
        <f t="shared" si="5"/>
        <v>21</v>
      </c>
      <c r="N258" s="25" t="e">
        <f t="shared" si="5"/>
        <v>#REF!</v>
      </c>
      <c r="P258" s="26">
        <f>SUM(P8:P257)</f>
        <v>0</v>
      </c>
      <c r="Q258" s="45">
        <f>SUM(Q8:Q257)</f>
        <v>21</v>
      </c>
      <c r="R258" s="31">
        <f>SUM(R8:R257)</f>
        <v>21</v>
      </c>
    </row>
    <row r="259" spans="2:18" ht="15" customHeight="1" x14ac:dyDescent="0.25">
      <c r="B259" s="10"/>
      <c r="C259" s="3"/>
      <c r="D259" s="13"/>
      <c r="E259" s="13"/>
    </row>
    <row r="260" spans="2:18" ht="15" customHeight="1" x14ac:dyDescent="0.25">
      <c r="B260" s="4"/>
      <c r="C260" s="9"/>
    </row>
    <row r="261" spans="2:18" ht="15" customHeight="1" x14ac:dyDescent="0.25">
      <c r="B261" s="4"/>
    </row>
    <row r="262" spans="2:18" x14ac:dyDescent="0.25">
      <c r="B262" s="4"/>
    </row>
    <row r="263" spans="2:18" x14ac:dyDescent="0.25">
      <c r="B263" s="4"/>
    </row>
    <row r="264" spans="2:18" x14ac:dyDescent="0.25">
      <c r="B264" s="4"/>
    </row>
    <row r="265" spans="2:18" x14ac:dyDescent="0.25">
      <c r="B265" s="4"/>
    </row>
    <row r="266" spans="2:18" x14ac:dyDescent="0.25">
      <c r="B266" s="4"/>
      <c r="E266" s="13"/>
    </row>
    <row r="267" spans="2:18" x14ac:dyDescent="0.25">
      <c r="B267" s="4"/>
    </row>
    <row r="268" spans="2:18" x14ac:dyDescent="0.25">
      <c r="B268" s="4"/>
    </row>
    <row r="269" spans="2:18" x14ac:dyDescent="0.25">
      <c r="B269" s="4"/>
    </row>
    <row r="270" spans="2:18" x14ac:dyDescent="0.25">
      <c r="B270" s="4"/>
    </row>
    <row r="271" spans="2:18" x14ac:dyDescent="0.25">
      <c r="B271" s="4"/>
    </row>
    <row r="272" spans="2:18" x14ac:dyDescent="0.25">
      <c r="B272" s="4"/>
    </row>
    <row r="273" spans="2:2" x14ac:dyDescent="0.25">
      <c r="B273" s="4"/>
    </row>
    <row r="274" spans="2:2" x14ac:dyDescent="0.25">
      <c r="B274" s="4"/>
    </row>
    <row r="275" spans="2:2" x14ac:dyDescent="0.25">
      <c r="B275" s="4"/>
    </row>
    <row r="276" spans="2:2" x14ac:dyDescent="0.25">
      <c r="B276" s="4"/>
    </row>
    <row r="277" spans="2:2" x14ac:dyDescent="0.25">
      <c r="B277" s="4"/>
    </row>
    <row r="278" spans="2:2" x14ac:dyDescent="0.25">
      <c r="B278" s="4"/>
    </row>
    <row r="279" spans="2:2" x14ac:dyDescent="0.25">
      <c r="B279" s="4"/>
    </row>
    <row r="280" spans="2:2" x14ac:dyDescent="0.25">
      <c r="B280" s="4"/>
    </row>
    <row r="281" spans="2:2" x14ac:dyDescent="0.25">
      <c r="B281" s="4"/>
    </row>
    <row r="282" spans="2:2" x14ac:dyDescent="0.25">
      <c r="B282" s="4"/>
    </row>
    <row r="283" spans="2:2" x14ac:dyDescent="0.25">
      <c r="B283" s="4"/>
    </row>
    <row r="284" spans="2:2" x14ac:dyDescent="0.25">
      <c r="B284" s="4"/>
    </row>
    <row r="285" spans="2:2" x14ac:dyDescent="0.25">
      <c r="B285" s="4"/>
    </row>
    <row r="286" spans="2:2" x14ac:dyDescent="0.25">
      <c r="B286" s="4"/>
    </row>
    <row r="287" spans="2:2" x14ac:dyDescent="0.25">
      <c r="B287" s="4"/>
    </row>
    <row r="288" spans="2:2" x14ac:dyDescent="0.25">
      <c r="B288" s="4"/>
    </row>
    <row r="289" spans="2:2" x14ac:dyDescent="0.25">
      <c r="B289" s="4"/>
    </row>
    <row r="290" spans="2:2" x14ac:dyDescent="0.25">
      <c r="B290" s="4"/>
    </row>
    <row r="291" spans="2:2" x14ac:dyDescent="0.25">
      <c r="B291" s="4"/>
    </row>
    <row r="292" spans="2:2" x14ac:dyDescent="0.25">
      <c r="B292" s="4"/>
    </row>
    <row r="293" spans="2:2" x14ac:dyDescent="0.25">
      <c r="B293" s="4"/>
    </row>
    <row r="294" spans="2:2" x14ac:dyDescent="0.25">
      <c r="B294" s="4"/>
    </row>
    <row r="295" spans="2:2" x14ac:dyDescent="0.25">
      <c r="B295" s="4"/>
    </row>
    <row r="296" spans="2:2" x14ac:dyDescent="0.25">
      <c r="B296" s="4"/>
    </row>
    <row r="297" spans="2:2" x14ac:dyDescent="0.25">
      <c r="B297" s="4"/>
    </row>
    <row r="298" spans="2:2" x14ac:dyDescent="0.25">
      <c r="B298" s="4"/>
    </row>
    <row r="299" spans="2:2" x14ac:dyDescent="0.25">
      <c r="B299" s="4"/>
    </row>
    <row r="300" spans="2:2" x14ac:dyDescent="0.25">
      <c r="B300" s="4"/>
    </row>
    <row r="301" spans="2:2" x14ac:dyDescent="0.25">
      <c r="B301" s="4"/>
    </row>
    <row r="302" spans="2:2" x14ac:dyDescent="0.25">
      <c r="B302" s="4"/>
    </row>
    <row r="303" spans="2:2" x14ac:dyDescent="0.25">
      <c r="B303" s="4"/>
    </row>
    <row r="304" spans="2:2" x14ac:dyDescent="0.25">
      <c r="B304" s="4"/>
    </row>
    <row r="305" spans="2:3" x14ac:dyDescent="0.25">
      <c r="B305" s="4"/>
    </row>
    <row r="306" spans="2:3" x14ac:dyDescent="0.25">
      <c r="B306" s="4"/>
    </row>
    <row r="307" spans="2:3" x14ac:dyDescent="0.25">
      <c r="B307" s="4"/>
    </row>
    <row r="308" spans="2:3" x14ac:dyDescent="0.25">
      <c r="B308" s="4"/>
    </row>
    <row r="309" spans="2:3" x14ac:dyDescent="0.25">
      <c r="B309" s="4"/>
    </row>
    <row r="310" spans="2:3" x14ac:dyDescent="0.25">
      <c r="B310" s="4"/>
    </row>
    <row r="311" spans="2:3" x14ac:dyDescent="0.25">
      <c r="B311" s="4"/>
    </row>
    <row r="312" spans="2:3" x14ac:dyDescent="0.25">
      <c r="B312" s="4"/>
    </row>
    <row r="313" spans="2:3" x14ac:dyDescent="0.25">
      <c r="B313" s="4"/>
    </row>
    <row r="314" spans="2:3" x14ac:dyDescent="0.25">
      <c r="B314" s="4"/>
    </row>
    <row r="315" spans="2:3" x14ac:dyDescent="0.25">
      <c r="B315" s="4"/>
    </row>
    <row r="316" spans="2:3" x14ac:dyDescent="0.25">
      <c r="B316" s="4"/>
    </row>
    <row r="317" spans="2:3" x14ac:dyDescent="0.25">
      <c r="B317" s="4"/>
    </row>
    <row r="318" spans="2:3" x14ac:dyDescent="0.25">
      <c r="B318" s="4"/>
      <c r="C318" t="s">
        <v>232</v>
      </c>
    </row>
    <row r="319" spans="2:3" x14ac:dyDescent="0.25">
      <c r="B319" s="4"/>
    </row>
    <row r="320" spans="2:3" x14ac:dyDescent="0.25">
      <c r="B320" s="5" t="s">
        <v>1</v>
      </c>
      <c r="C320" s="6" t="s">
        <v>233</v>
      </c>
    </row>
    <row r="321" spans="2:3" x14ac:dyDescent="0.25">
      <c r="B321" s="7" t="s">
        <v>234</v>
      </c>
      <c r="C321" s="8" t="s">
        <v>235</v>
      </c>
    </row>
    <row r="322" spans="2:3" x14ac:dyDescent="0.25">
      <c r="B322" s="7" t="s">
        <v>236</v>
      </c>
      <c r="C322" s="8" t="s">
        <v>9</v>
      </c>
    </row>
    <row r="323" spans="2:3" x14ac:dyDescent="0.25">
      <c r="B323" s="7" t="s">
        <v>237</v>
      </c>
      <c r="C323" s="8" t="s">
        <v>21</v>
      </c>
    </row>
    <row r="324" spans="2:3" x14ac:dyDescent="0.25">
      <c r="B324" s="7" t="s">
        <v>238</v>
      </c>
      <c r="C324" s="8" t="s">
        <v>239</v>
      </c>
    </row>
    <row r="325" spans="2:3" x14ac:dyDescent="0.25">
      <c r="B325" s="7" t="s">
        <v>240</v>
      </c>
      <c r="C325" s="8" t="s">
        <v>241</v>
      </c>
    </row>
    <row r="326" spans="2:3" x14ac:dyDescent="0.25">
      <c r="B326" s="7" t="s">
        <v>242</v>
      </c>
      <c r="C326" s="8" t="s">
        <v>37</v>
      </c>
    </row>
    <row r="327" spans="2:3" x14ac:dyDescent="0.25">
      <c r="B327" s="7" t="s">
        <v>243</v>
      </c>
      <c r="C327" s="8" t="s">
        <v>41</v>
      </c>
    </row>
    <row r="328" spans="2:3" x14ac:dyDescent="0.25">
      <c r="B328" s="7" t="s">
        <v>244</v>
      </c>
      <c r="C328" s="8" t="s">
        <v>38</v>
      </c>
    </row>
    <row r="329" spans="2:3" x14ac:dyDescent="0.25">
      <c r="B329" s="7" t="s">
        <v>245</v>
      </c>
      <c r="C329" s="8" t="s">
        <v>57</v>
      </c>
    </row>
    <row r="330" spans="2:3" x14ac:dyDescent="0.25">
      <c r="B330" s="7" t="s">
        <v>246</v>
      </c>
      <c r="C330" s="8" t="s">
        <v>66</v>
      </c>
    </row>
    <row r="331" spans="2:3" x14ac:dyDescent="0.25">
      <c r="B331" s="7" t="s">
        <v>247</v>
      </c>
      <c r="C331" s="8" t="s">
        <v>55</v>
      </c>
    </row>
    <row r="332" spans="2:3" x14ac:dyDescent="0.25">
      <c r="B332" s="7" t="s">
        <v>248</v>
      </c>
      <c r="C332" s="8" t="s">
        <v>65</v>
      </c>
    </row>
    <row r="333" spans="2:3" x14ac:dyDescent="0.25">
      <c r="B333" s="7" t="s">
        <v>249</v>
      </c>
      <c r="C333" s="8" t="s">
        <v>77</v>
      </c>
    </row>
    <row r="334" spans="2:3" x14ac:dyDescent="0.25">
      <c r="B334" s="7" t="s">
        <v>250</v>
      </c>
      <c r="C334" s="8" t="s">
        <v>78</v>
      </c>
    </row>
    <row r="335" spans="2:3" x14ac:dyDescent="0.25">
      <c r="B335" s="7" t="s">
        <v>251</v>
      </c>
      <c r="C335" s="8" t="s">
        <v>252</v>
      </c>
    </row>
    <row r="336" spans="2:3" x14ac:dyDescent="0.25">
      <c r="B336" s="7" t="s">
        <v>253</v>
      </c>
      <c r="C336" s="8" t="s">
        <v>73</v>
      </c>
    </row>
    <row r="337" spans="2:3" x14ac:dyDescent="0.25">
      <c r="B337" s="7" t="s">
        <v>254</v>
      </c>
      <c r="C337" s="8" t="s">
        <v>81</v>
      </c>
    </row>
    <row r="338" spans="2:3" x14ac:dyDescent="0.25">
      <c r="B338" s="7" t="s">
        <v>255</v>
      </c>
      <c r="C338" s="8" t="s">
        <v>9</v>
      </c>
    </row>
    <row r="339" spans="2:3" x14ac:dyDescent="0.25">
      <c r="B339" s="7" t="s">
        <v>256</v>
      </c>
      <c r="C339" s="8" t="s">
        <v>107</v>
      </c>
    </row>
    <row r="340" spans="2:3" x14ac:dyDescent="0.25">
      <c r="B340" s="7" t="s">
        <v>257</v>
      </c>
      <c r="C340" s="8" t="s">
        <v>113</v>
      </c>
    </row>
    <row r="341" spans="2:3" x14ac:dyDescent="0.25">
      <c r="B341" s="7" t="s">
        <v>258</v>
      </c>
      <c r="C341" s="8" t="s">
        <v>114</v>
      </c>
    </row>
    <row r="342" spans="2:3" x14ac:dyDescent="0.25">
      <c r="B342" s="7" t="s">
        <v>259</v>
      </c>
      <c r="C342" s="8" t="s">
        <v>115</v>
      </c>
    </row>
    <row r="343" spans="2:3" x14ac:dyDescent="0.25">
      <c r="B343" s="7" t="s">
        <v>260</v>
      </c>
      <c r="C343" s="8" t="s">
        <v>8</v>
      </c>
    </row>
    <row r="344" spans="2:3" x14ac:dyDescent="0.25">
      <c r="B344" s="7" t="s">
        <v>261</v>
      </c>
      <c r="C344" s="8" t="s">
        <v>126</v>
      </c>
    </row>
    <row r="345" spans="2:3" x14ac:dyDescent="0.25">
      <c r="B345" s="7" t="s">
        <v>262</v>
      </c>
      <c r="C345" s="8" t="s">
        <v>141</v>
      </c>
    </row>
    <row r="346" spans="2:3" x14ac:dyDescent="0.25">
      <c r="B346" s="7" t="s">
        <v>263</v>
      </c>
      <c r="C346" s="8" t="s">
        <v>159</v>
      </c>
    </row>
    <row r="347" spans="2:3" x14ac:dyDescent="0.25">
      <c r="B347" s="7" t="s">
        <v>264</v>
      </c>
      <c r="C347" s="8" t="s">
        <v>179</v>
      </c>
    </row>
    <row r="348" spans="2:3" x14ac:dyDescent="0.25">
      <c r="B348" s="7" t="s">
        <v>265</v>
      </c>
      <c r="C348" s="8" t="s">
        <v>197</v>
      </c>
    </row>
    <row r="349" spans="2:3" x14ac:dyDescent="0.25">
      <c r="B349" s="7" t="s">
        <v>266</v>
      </c>
      <c r="C349" s="8" t="s">
        <v>213</v>
      </c>
    </row>
    <row r="350" spans="2:3" x14ac:dyDescent="0.25">
      <c r="B350" s="7" t="s">
        <v>267</v>
      </c>
      <c r="C350" s="8" t="s">
        <v>230</v>
      </c>
    </row>
    <row r="351" spans="2:3" x14ac:dyDescent="0.25">
      <c r="B351" s="7" t="s">
        <v>268</v>
      </c>
      <c r="C351" s="8" t="s">
        <v>223</v>
      </c>
    </row>
    <row r="354" spans="2:3" x14ac:dyDescent="0.25">
      <c r="B354" s="109" t="s">
        <v>269</v>
      </c>
      <c r="C354" s="109"/>
    </row>
    <row r="356" spans="2:3" x14ac:dyDescent="0.25">
      <c r="B356" s="5" t="s">
        <v>1</v>
      </c>
      <c r="C356" s="6" t="s">
        <v>233</v>
      </c>
    </row>
    <row r="357" spans="2:3" x14ac:dyDescent="0.25">
      <c r="B357" s="7" t="s">
        <v>234</v>
      </c>
      <c r="C357" s="8" t="s">
        <v>25</v>
      </c>
    </row>
    <row r="358" spans="2:3" x14ac:dyDescent="0.25">
      <c r="B358" s="7" t="s">
        <v>236</v>
      </c>
      <c r="C358" s="8" t="s">
        <v>30</v>
      </c>
    </row>
    <row r="359" spans="2:3" x14ac:dyDescent="0.25">
      <c r="B359" s="7" t="s">
        <v>237</v>
      </c>
      <c r="C359" s="8" t="s">
        <v>43</v>
      </c>
    </row>
    <row r="360" spans="2:3" x14ac:dyDescent="0.25">
      <c r="B360" s="7" t="s">
        <v>238</v>
      </c>
      <c r="C360" s="8" t="s">
        <v>44</v>
      </c>
    </row>
    <row r="361" spans="2:3" x14ac:dyDescent="0.25">
      <c r="B361" s="7" t="s">
        <v>240</v>
      </c>
      <c r="C361" s="8" t="s">
        <v>86</v>
      </c>
    </row>
    <row r="362" spans="2:3" x14ac:dyDescent="0.25">
      <c r="B362" s="7" t="s">
        <v>242</v>
      </c>
      <c r="C362" s="8" t="s">
        <v>102</v>
      </c>
    </row>
    <row r="363" spans="2:3" x14ac:dyDescent="0.25">
      <c r="B363" s="7" t="s">
        <v>243</v>
      </c>
      <c r="C363" s="8" t="s">
        <v>128</v>
      </c>
    </row>
    <row r="364" spans="2:3" x14ac:dyDescent="0.25">
      <c r="B364" s="7" t="s">
        <v>244</v>
      </c>
      <c r="C364" s="8" t="s">
        <v>270</v>
      </c>
    </row>
    <row r="365" spans="2:3" x14ac:dyDescent="0.25">
      <c r="B365" s="7" t="s">
        <v>245</v>
      </c>
      <c r="C365" s="8" t="s">
        <v>134</v>
      </c>
    </row>
    <row r="366" spans="2:3" x14ac:dyDescent="0.25">
      <c r="B366" s="7" t="s">
        <v>246</v>
      </c>
      <c r="C366" s="8" t="s">
        <v>164</v>
      </c>
    </row>
    <row r="367" spans="2:3" x14ac:dyDescent="0.25">
      <c r="B367" s="7" t="s">
        <v>247</v>
      </c>
      <c r="C367" s="8" t="s">
        <v>170</v>
      </c>
    </row>
    <row r="368" spans="2:3" x14ac:dyDescent="0.25">
      <c r="B368" s="7" t="s">
        <v>248</v>
      </c>
      <c r="C368" s="8" t="s">
        <v>53</v>
      </c>
    </row>
    <row r="369" spans="2:3" x14ac:dyDescent="0.25">
      <c r="B369" s="7" t="s">
        <v>249</v>
      </c>
      <c r="C369" s="8" t="s">
        <v>174</v>
      </c>
    </row>
    <row r="370" spans="2:3" x14ac:dyDescent="0.25">
      <c r="B370" s="7" t="s">
        <v>250</v>
      </c>
      <c r="C370" s="8" t="s">
        <v>57</v>
      </c>
    </row>
    <row r="371" spans="2:3" x14ac:dyDescent="0.25">
      <c r="B371" s="7" t="s">
        <v>251</v>
      </c>
      <c r="C371" s="8" t="s">
        <v>202</v>
      </c>
    </row>
  </sheetData>
  <mergeCells count="16">
    <mergeCell ref="R5:R7"/>
    <mergeCell ref="B258:C258"/>
    <mergeCell ref="B354:C354"/>
    <mergeCell ref="K5:K7"/>
    <mergeCell ref="L5:L7"/>
    <mergeCell ref="M5:M7"/>
    <mergeCell ref="F5:F7"/>
    <mergeCell ref="G5:G7"/>
    <mergeCell ref="H5:H7"/>
    <mergeCell ref="I5:I7"/>
    <mergeCell ref="J5:J7"/>
    <mergeCell ref="B5:B7"/>
    <mergeCell ref="C5:C7"/>
    <mergeCell ref="D5:D7"/>
    <mergeCell ref="E5:E7"/>
    <mergeCell ref="N5:N7"/>
  </mergeCells>
  <conditionalFormatting sqref="D1:D1048576">
    <cfRule type="duplicateValues" dxfId="66" priority="1"/>
  </conditionalFormatting>
  <pageMargins left="0.35433070866141736" right="0.19685039370078741" top="0.74803149606299213" bottom="0.74803149606299213" header="0.31496062992125984" footer="0.31496062992125984"/>
  <pageSetup paperSize="5" scale="70" orientation="portrait" horizontalDpi="4294967292"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1"/>
  <sheetViews>
    <sheetView workbookViewId="0">
      <selection sqref="A1:XFD1048576"/>
    </sheetView>
  </sheetViews>
  <sheetFormatPr defaultColWidth="9.140625" defaultRowHeight="15" x14ac:dyDescent="0.25"/>
  <cols>
    <col min="1" max="1" width="6.42578125" style="12" customWidth="1"/>
    <col min="2" max="2" width="37.42578125" style="14" customWidth="1"/>
    <col min="3" max="3" width="29.28515625" style="14" customWidth="1"/>
    <col min="4" max="10" width="18.28515625" style="14" customWidth="1"/>
    <col min="11" max="16384" width="9.140625" style="14"/>
  </cols>
  <sheetData>
    <row r="2" spans="1:3" x14ac:dyDescent="0.25">
      <c r="A2" s="121" t="s">
        <v>430</v>
      </c>
      <c r="B2" s="121"/>
      <c r="C2" s="121"/>
    </row>
    <row r="3" spans="1:3" x14ac:dyDescent="0.25">
      <c r="A3" s="122" t="str">
        <f>"TANGGAL "&amp;perdesa!C4</f>
        <v>TANGGAL 6 DESEMBER 2021</v>
      </c>
      <c r="B3" s="122"/>
    </row>
    <row r="4" spans="1:3" s="48" customFormat="1" x14ac:dyDescent="0.25">
      <c r="A4" s="63" t="s">
        <v>1</v>
      </c>
      <c r="B4" s="91" t="s">
        <v>2</v>
      </c>
      <c r="C4" s="63" t="s">
        <v>461</v>
      </c>
    </row>
    <row r="5" spans="1:3" x14ac:dyDescent="0.25">
      <c r="A5" s="92"/>
      <c r="B5" s="50"/>
      <c r="C5" s="93"/>
    </row>
    <row r="6" spans="1:3" x14ac:dyDescent="0.25">
      <c r="A6" s="49">
        <v>1</v>
      </c>
      <c r="B6" s="43" t="s">
        <v>283</v>
      </c>
      <c r="C6" s="79">
        <f>perdesa!R155</f>
        <v>1</v>
      </c>
    </row>
    <row r="7" spans="1:3" x14ac:dyDescent="0.25">
      <c r="A7" s="49">
        <v>2</v>
      </c>
      <c r="B7" s="43" t="s">
        <v>281</v>
      </c>
      <c r="C7" s="79">
        <f>perdesa!R175</f>
        <v>1</v>
      </c>
    </row>
    <row r="8" spans="1:3" x14ac:dyDescent="0.25">
      <c r="A8" s="49">
        <v>3</v>
      </c>
      <c r="B8" s="43" t="s">
        <v>292</v>
      </c>
      <c r="C8" s="79">
        <f>perdesa!R237</f>
        <v>0</v>
      </c>
    </row>
    <row r="9" spans="1:3" x14ac:dyDescent="0.25">
      <c r="A9" s="49">
        <v>4</v>
      </c>
      <c r="B9" s="43" t="s">
        <v>290</v>
      </c>
      <c r="C9" s="79">
        <f>perdesa!R83</f>
        <v>0</v>
      </c>
    </row>
    <row r="10" spans="1:3" x14ac:dyDescent="0.25">
      <c r="A10" s="49">
        <v>5</v>
      </c>
      <c r="B10" s="43" t="s">
        <v>0</v>
      </c>
      <c r="C10" s="79">
        <f>perdesa!R27</f>
        <v>0</v>
      </c>
    </row>
    <row r="11" spans="1:3" x14ac:dyDescent="0.25">
      <c r="A11" s="49">
        <v>6</v>
      </c>
      <c r="B11" s="43" t="s">
        <v>282</v>
      </c>
      <c r="C11" s="79">
        <f>perdesa!R115</f>
        <v>1</v>
      </c>
    </row>
    <row r="12" spans="1:3" x14ac:dyDescent="0.25">
      <c r="A12" s="49">
        <v>7</v>
      </c>
      <c r="B12" s="43" t="s">
        <v>284</v>
      </c>
      <c r="C12" s="79">
        <f>perdesa!R217</f>
        <v>18</v>
      </c>
    </row>
    <row r="13" spans="1:3" x14ac:dyDescent="0.25">
      <c r="A13" s="49">
        <v>8</v>
      </c>
      <c r="B13" s="43" t="s">
        <v>285</v>
      </c>
      <c r="C13" s="79">
        <f>perdesa!R44</f>
        <v>0</v>
      </c>
    </row>
    <row r="14" spans="1:3" x14ac:dyDescent="0.25">
      <c r="A14" s="49">
        <v>9</v>
      </c>
      <c r="B14" s="43" t="s">
        <v>291</v>
      </c>
      <c r="C14" s="79">
        <f>perdesa!R134</f>
        <v>0</v>
      </c>
    </row>
    <row r="15" spans="1:3" x14ac:dyDescent="0.25">
      <c r="A15" s="49">
        <v>10</v>
      </c>
      <c r="B15" s="43" t="s">
        <v>399</v>
      </c>
      <c r="C15" s="79">
        <f>perdesa!R8</f>
        <v>0</v>
      </c>
    </row>
    <row r="16" spans="1:3" x14ac:dyDescent="0.25">
      <c r="A16" s="49">
        <v>11</v>
      </c>
      <c r="B16" s="43" t="s">
        <v>286</v>
      </c>
      <c r="C16" s="79">
        <f>perdesa!R203</f>
        <v>0</v>
      </c>
    </row>
    <row r="17" spans="1:3" x14ac:dyDescent="0.25">
      <c r="A17" s="49">
        <v>12</v>
      </c>
      <c r="B17" s="43" t="s">
        <v>287</v>
      </c>
      <c r="C17" s="79">
        <f>perdesa!R187</f>
        <v>0</v>
      </c>
    </row>
    <row r="18" spans="1:3" x14ac:dyDescent="0.25">
      <c r="A18" s="49">
        <v>13</v>
      </c>
      <c r="B18" s="43" t="s">
        <v>288</v>
      </c>
      <c r="C18" s="79">
        <f>perdesa!R65</f>
        <v>0</v>
      </c>
    </row>
    <row r="19" spans="1:3" x14ac:dyDescent="0.25">
      <c r="A19" s="49">
        <v>14</v>
      </c>
      <c r="B19" s="43" t="s">
        <v>289</v>
      </c>
      <c r="C19" s="67">
        <f>perdesa!R100</f>
        <v>0</v>
      </c>
    </row>
    <row r="20" spans="1:3" x14ac:dyDescent="0.25">
      <c r="A20" s="49">
        <v>15</v>
      </c>
      <c r="B20" s="43" t="s">
        <v>293</v>
      </c>
      <c r="C20" s="67">
        <f>perdesa!R257</f>
        <v>0</v>
      </c>
    </row>
    <row r="21" spans="1:3" x14ac:dyDescent="0.25">
      <c r="A21" s="94"/>
      <c r="B21" s="52" t="s">
        <v>400</v>
      </c>
      <c r="C21" s="94">
        <f t="shared" ref="C21" si="0">SUM(C6:C20)</f>
        <v>21</v>
      </c>
    </row>
  </sheetData>
  <mergeCells count="2">
    <mergeCell ref="A2:C2"/>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G6"/>
  <sheetViews>
    <sheetView topLeftCell="C1" workbookViewId="0">
      <selection activeCell="C6" sqref="C6:AG6"/>
    </sheetView>
  </sheetViews>
  <sheetFormatPr defaultRowHeight="15" x14ac:dyDescent="0.25"/>
  <cols>
    <col min="6" max="6" width="25.5703125" customWidth="1"/>
    <col min="9" max="9" width="16.140625" customWidth="1"/>
  </cols>
  <sheetData>
    <row r="5" spans="1:33" s="32" customFormat="1" ht="18.75" customHeight="1" x14ac:dyDescent="0.25">
      <c r="A5" s="37"/>
      <c r="B5" s="37"/>
      <c r="C5" s="46">
        <v>44014</v>
      </c>
      <c r="D5" s="40" t="s">
        <v>351</v>
      </c>
      <c r="E5" s="40" t="s">
        <v>310</v>
      </c>
      <c r="F5" s="64" t="s">
        <v>401</v>
      </c>
      <c r="G5" s="65">
        <v>44008</v>
      </c>
      <c r="H5" s="63">
        <v>46</v>
      </c>
      <c r="I5" s="64" t="s">
        <v>404</v>
      </c>
      <c r="J5" s="63" t="s">
        <v>402</v>
      </c>
      <c r="K5" s="63">
        <v>1</v>
      </c>
      <c r="L5" s="63" t="s">
        <v>403</v>
      </c>
      <c r="M5" s="63" t="s">
        <v>404</v>
      </c>
      <c r="N5" s="63" t="s">
        <v>403</v>
      </c>
      <c r="O5" s="38" t="s">
        <v>293</v>
      </c>
      <c r="P5" s="38" t="s">
        <v>293</v>
      </c>
      <c r="Q5" s="37"/>
      <c r="R5" s="8" t="s">
        <v>349</v>
      </c>
      <c r="S5" s="37"/>
      <c r="T5" s="37"/>
      <c r="U5" s="37"/>
      <c r="V5" s="37"/>
      <c r="W5" s="37"/>
      <c r="X5" s="37"/>
      <c r="Y5" s="37"/>
      <c r="Z5" s="37" t="s">
        <v>317</v>
      </c>
      <c r="AA5" s="37"/>
      <c r="AB5" s="37"/>
      <c r="AC5" s="37"/>
      <c r="AD5" s="37" t="s">
        <v>309</v>
      </c>
      <c r="AF5" s="33" t="s">
        <v>293</v>
      </c>
      <c r="AG5" s="33" t="s">
        <v>293</v>
      </c>
    </row>
    <row r="6" spans="1:33" ht="90" x14ac:dyDescent="0.25">
      <c r="C6" s="39">
        <v>44017</v>
      </c>
      <c r="D6" s="66" t="s">
        <v>351</v>
      </c>
      <c r="E6" s="66" t="s">
        <v>310</v>
      </c>
      <c r="F6" s="34" t="s">
        <v>428</v>
      </c>
      <c r="G6" s="66" t="s">
        <v>306</v>
      </c>
      <c r="H6" s="66">
        <v>54</v>
      </c>
      <c r="I6" s="66"/>
      <c r="J6" s="66"/>
      <c r="K6" s="66"/>
      <c r="L6" s="66"/>
      <c r="M6" s="66"/>
      <c r="N6" s="34" t="s">
        <v>427</v>
      </c>
      <c r="O6" s="34" t="s">
        <v>394</v>
      </c>
      <c r="P6" s="34" t="s">
        <v>282</v>
      </c>
      <c r="Q6" s="66"/>
      <c r="R6" s="66" t="s">
        <v>429</v>
      </c>
      <c r="S6" s="66"/>
      <c r="T6" s="66" t="s">
        <v>325</v>
      </c>
      <c r="U6" s="66"/>
      <c r="V6" s="66"/>
      <c r="W6" s="66"/>
      <c r="X6" s="66"/>
      <c r="Y6" s="66"/>
      <c r="Z6" s="66"/>
      <c r="AA6" s="66"/>
      <c r="AB6" s="66"/>
      <c r="AC6" s="66"/>
      <c r="AD6" s="66" t="s">
        <v>354</v>
      </c>
      <c r="AE6" s="36"/>
      <c r="AF6" s="35" t="s">
        <v>394</v>
      </c>
      <c r="AG6" s="35" t="s">
        <v>282</v>
      </c>
    </row>
  </sheetData>
  <conditionalFormatting sqref="F5">
    <cfRule type="duplicateValues" dxfId="65" priority="20"/>
  </conditionalFormatting>
  <dataValidations count="2">
    <dataValidation type="list" allowBlank="1" showInputMessage="1" showErrorMessage="1" errorTitle="pilihan" sqref="AD5">
      <formula1>#REF!</formula1>
    </dataValidation>
    <dataValidation type="list" allowBlank="1" showInputMessage="1" showErrorMessage="1" errorTitle="pilihan" sqref="AD6">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AG20"/>
  <sheetViews>
    <sheetView workbookViewId="0">
      <selection activeCell="A3" sqref="A3:XFD19"/>
    </sheetView>
  </sheetViews>
  <sheetFormatPr defaultRowHeight="15" x14ac:dyDescent="0.25"/>
  <cols>
    <col min="6" max="6" width="22.7109375" customWidth="1"/>
    <col min="18" max="18" width="17.28515625" customWidth="1"/>
    <col min="26" max="26" width="17.28515625" customWidth="1"/>
  </cols>
  <sheetData>
    <row r="3" spans="4:33" s="32" customFormat="1" ht="27" customHeight="1" x14ac:dyDescent="0.25">
      <c r="D3" s="37" t="s">
        <v>351</v>
      </c>
      <c r="E3" s="37" t="s">
        <v>310</v>
      </c>
      <c r="F3" s="38" t="s">
        <v>315</v>
      </c>
      <c r="G3" s="37" t="s">
        <v>304</v>
      </c>
      <c r="H3" s="37">
        <v>52</v>
      </c>
      <c r="I3" s="37" t="s">
        <v>425</v>
      </c>
      <c r="J3" s="37"/>
      <c r="K3" s="37"/>
      <c r="L3" s="37"/>
      <c r="M3" s="37"/>
      <c r="N3" s="38" t="s">
        <v>316</v>
      </c>
      <c r="O3" s="38" t="s">
        <v>344</v>
      </c>
      <c r="P3" s="38" t="s">
        <v>281</v>
      </c>
      <c r="Q3" s="37"/>
      <c r="R3" s="37" t="s">
        <v>311</v>
      </c>
      <c r="S3" s="37" t="s">
        <v>398</v>
      </c>
      <c r="T3" s="37"/>
      <c r="U3" s="37"/>
      <c r="V3" s="37"/>
      <c r="W3" s="37"/>
      <c r="X3" s="37"/>
      <c r="Y3" s="37"/>
      <c r="Z3" s="37" t="s">
        <v>392</v>
      </c>
      <c r="AA3" s="37" t="s">
        <v>426</v>
      </c>
      <c r="AB3" s="37" t="s">
        <v>307</v>
      </c>
    </row>
    <row r="4" spans="4:33" s="32" customFormat="1" ht="27" customHeight="1" x14ac:dyDescent="0.25">
      <c r="D4" s="37" t="s">
        <v>351</v>
      </c>
      <c r="E4" s="37" t="s">
        <v>310</v>
      </c>
      <c r="F4" s="38" t="s">
        <v>355</v>
      </c>
      <c r="G4" s="37" t="s">
        <v>304</v>
      </c>
      <c r="H4" s="37">
        <v>56</v>
      </c>
      <c r="I4" s="37" t="s">
        <v>356</v>
      </c>
      <c r="J4" s="37"/>
      <c r="K4" s="37"/>
      <c r="L4" s="37"/>
      <c r="M4" s="37"/>
      <c r="N4" s="38" t="s">
        <v>422</v>
      </c>
      <c r="O4" s="38" t="s">
        <v>345</v>
      </c>
      <c r="P4" s="38" t="s">
        <v>308</v>
      </c>
      <c r="Q4" s="37"/>
      <c r="R4" s="37" t="s">
        <v>311</v>
      </c>
      <c r="S4" s="37" t="s">
        <v>423</v>
      </c>
      <c r="T4" s="37"/>
      <c r="U4" s="37"/>
      <c r="V4" s="37"/>
      <c r="W4" s="37"/>
      <c r="X4" s="37"/>
      <c r="Y4" s="37"/>
      <c r="Z4" s="37" t="s">
        <v>392</v>
      </c>
      <c r="AA4" s="37" t="s">
        <v>424</v>
      </c>
      <c r="AB4" s="37" t="s">
        <v>307</v>
      </c>
    </row>
    <row r="5" spans="4:33" s="32" customFormat="1" ht="27" customHeight="1" x14ac:dyDescent="0.25">
      <c r="D5" s="37" t="s">
        <v>351</v>
      </c>
      <c r="E5" s="37" t="s">
        <v>310</v>
      </c>
      <c r="F5" s="38" t="s">
        <v>313</v>
      </c>
      <c r="G5" s="37" t="s">
        <v>304</v>
      </c>
      <c r="H5" s="37">
        <v>52</v>
      </c>
      <c r="I5" s="37" t="s">
        <v>314</v>
      </c>
      <c r="J5" s="37"/>
      <c r="K5" s="37"/>
      <c r="L5" s="37"/>
      <c r="M5" s="37"/>
      <c r="N5" s="38" t="s">
        <v>419</v>
      </c>
      <c r="O5" s="38" t="s">
        <v>343</v>
      </c>
      <c r="P5" s="38" t="s">
        <v>0</v>
      </c>
      <c r="Q5" s="37"/>
      <c r="R5" s="37" t="s">
        <v>311</v>
      </c>
      <c r="S5" s="37" t="s">
        <v>420</v>
      </c>
      <c r="T5" s="37"/>
      <c r="U5" s="37"/>
      <c r="V5" s="37"/>
      <c r="W5" s="37"/>
      <c r="X5" s="37"/>
      <c r="Y5" s="37"/>
      <c r="Z5" s="37" t="s">
        <v>392</v>
      </c>
      <c r="AA5" s="37" t="s">
        <v>421</v>
      </c>
      <c r="AB5" s="37" t="s">
        <v>307</v>
      </c>
    </row>
    <row r="6" spans="4:33" s="32" customFormat="1" ht="27" customHeight="1" x14ac:dyDescent="0.25">
      <c r="D6" s="37" t="s">
        <v>351</v>
      </c>
      <c r="E6" s="37" t="s">
        <v>310</v>
      </c>
      <c r="F6" s="38" t="s">
        <v>330</v>
      </c>
      <c r="G6" s="37" t="s">
        <v>304</v>
      </c>
      <c r="H6" s="37">
        <v>63</v>
      </c>
      <c r="I6" s="37" t="s">
        <v>323</v>
      </c>
      <c r="J6" s="37"/>
      <c r="K6" s="37"/>
      <c r="L6" s="37"/>
      <c r="M6" s="37"/>
      <c r="N6" s="38" t="s">
        <v>322</v>
      </c>
      <c r="O6" s="38" t="s">
        <v>353</v>
      </c>
      <c r="P6" s="38" t="s">
        <v>292</v>
      </c>
      <c r="Q6" s="37"/>
      <c r="R6" s="37" t="s">
        <v>305</v>
      </c>
      <c r="S6" s="37" t="s">
        <v>408</v>
      </c>
      <c r="T6" s="37"/>
      <c r="U6" s="37"/>
      <c r="V6" s="37"/>
      <c r="W6" s="37"/>
      <c r="X6" s="37"/>
      <c r="Y6" s="37"/>
      <c r="Z6" s="37" t="s">
        <v>392</v>
      </c>
      <c r="AA6" s="37" t="s">
        <v>418</v>
      </c>
      <c r="AB6" s="37" t="s">
        <v>307</v>
      </c>
    </row>
    <row r="7" spans="4:33" s="32" customFormat="1" ht="27" customHeight="1" x14ac:dyDescent="0.25">
      <c r="D7" s="37" t="s">
        <v>351</v>
      </c>
      <c r="E7" s="37" t="s">
        <v>310</v>
      </c>
      <c r="F7" s="38" t="s">
        <v>371</v>
      </c>
      <c r="G7" s="37" t="s">
        <v>304</v>
      </c>
      <c r="H7" s="37">
        <v>17</v>
      </c>
      <c r="I7" s="37" t="s">
        <v>373</v>
      </c>
      <c r="J7" s="37"/>
      <c r="K7" s="37"/>
      <c r="L7" s="37"/>
      <c r="M7" s="37"/>
      <c r="N7" s="38" t="s">
        <v>372</v>
      </c>
      <c r="O7" s="38" t="s">
        <v>350</v>
      </c>
      <c r="P7" s="38" t="s">
        <v>308</v>
      </c>
      <c r="Q7" s="37"/>
      <c r="R7" s="37" t="s">
        <v>311</v>
      </c>
      <c r="S7" s="37" t="s">
        <v>376</v>
      </c>
      <c r="T7" s="37"/>
      <c r="U7" s="37"/>
      <c r="V7" s="37"/>
      <c r="W7" s="37"/>
      <c r="X7" s="37"/>
      <c r="Y7" s="37"/>
      <c r="Z7" s="37" t="s">
        <v>392</v>
      </c>
      <c r="AA7" s="37" t="s">
        <v>324</v>
      </c>
      <c r="AB7" s="37" t="s">
        <v>307</v>
      </c>
    </row>
    <row r="8" spans="4:33" s="32" customFormat="1" ht="27" customHeight="1" x14ac:dyDescent="0.25">
      <c r="D8" s="37" t="s">
        <v>351</v>
      </c>
      <c r="E8" s="37" t="s">
        <v>310</v>
      </c>
      <c r="F8" s="38" t="s">
        <v>331</v>
      </c>
      <c r="G8" s="37" t="s">
        <v>304</v>
      </c>
      <c r="H8" s="37">
        <v>75</v>
      </c>
      <c r="I8" s="37" t="s">
        <v>332</v>
      </c>
      <c r="J8" s="37"/>
      <c r="K8" s="37"/>
      <c r="L8" s="37"/>
      <c r="M8" s="37"/>
      <c r="N8" s="38" t="s">
        <v>417</v>
      </c>
      <c r="O8" s="38" t="s">
        <v>346</v>
      </c>
      <c r="P8" s="38" t="s">
        <v>308</v>
      </c>
      <c r="Q8" s="37"/>
      <c r="R8" s="37" t="s">
        <v>311</v>
      </c>
      <c r="S8" s="37" t="s">
        <v>410</v>
      </c>
      <c r="T8" s="37"/>
      <c r="U8" s="37"/>
      <c r="V8" s="37"/>
      <c r="W8" s="37"/>
      <c r="X8" s="37"/>
      <c r="Y8" s="37"/>
      <c r="Z8" s="37" t="s">
        <v>392</v>
      </c>
      <c r="AA8" s="37" t="s">
        <v>333</v>
      </c>
      <c r="AB8" s="37" t="s">
        <v>307</v>
      </c>
    </row>
    <row r="9" spans="4:33" s="32" customFormat="1" ht="27" customHeight="1" x14ac:dyDescent="0.25">
      <c r="D9" s="37" t="s">
        <v>351</v>
      </c>
      <c r="E9" s="37" t="s">
        <v>310</v>
      </c>
      <c r="F9" s="38" t="s">
        <v>361</v>
      </c>
      <c r="G9" s="37" t="s">
        <v>306</v>
      </c>
      <c r="H9" s="37">
        <v>28</v>
      </c>
      <c r="I9" s="37" t="s">
        <v>367</v>
      </c>
      <c r="J9" s="37"/>
      <c r="K9" s="37"/>
      <c r="L9" s="37"/>
      <c r="M9" s="37"/>
      <c r="N9" s="38" t="s">
        <v>366</v>
      </c>
      <c r="O9" s="38" t="s">
        <v>342</v>
      </c>
      <c r="P9" s="38" t="s">
        <v>284</v>
      </c>
      <c r="Q9" s="37"/>
      <c r="R9" s="37" t="s">
        <v>311</v>
      </c>
      <c r="S9" s="37" t="s">
        <v>376</v>
      </c>
      <c r="T9" s="37"/>
      <c r="U9" s="37"/>
      <c r="V9" s="37"/>
      <c r="W9" s="37"/>
      <c r="X9" s="37"/>
      <c r="Y9" s="37"/>
      <c r="Z9" s="37" t="s">
        <v>392</v>
      </c>
      <c r="AA9" s="37" t="s">
        <v>368</v>
      </c>
      <c r="AB9" s="37" t="s">
        <v>307</v>
      </c>
    </row>
    <row r="10" spans="4:33" s="32" customFormat="1" ht="27" customHeight="1" x14ac:dyDescent="0.25">
      <c r="D10" s="37" t="s">
        <v>351</v>
      </c>
      <c r="E10" s="37" t="s">
        <v>310</v>
      </c>
      <c r="F10" s="38" t="s">
        <v>385</v>
      </c>
      <c r="G10" s="37" t="s">
        <v>306</v>
      </c>
      <c r="H10" s="37">
        <v>76</v>
      </c>
      <c r="I10" s="37" t="s">
        <v>387</v>
      </c>
      <c r="J10" s="37"/>
      <c r="K10" s="37"/>
      <c r="L10" s="37"/>
      <c r="M10" s="37"/>
      <c r="N10" s="38" t="s">
        <v>386</v>
      </c>
      <c r="O10" s="38" t="s">
        <v>348</v>
      </c>
      <c r="P10" s="38" t="s">
        <v>281</v>
      </c>
      <c r="Q10" s="37"/>
      <c r="R10" s="37" t="s">
        <v>311</v>
      </c>
      <c r="S10" s="37" t="s">
        <v>375</v>
      </c>
      <c r="T10" s="37"/>
      <c r="U10" s="37"/>
      <c r="V10" s="37"/>
      <c r="W10" s="37"/>
      <c r="X10" s="37"/>
      <c r="Y10" s="37"/>
      <c r="Z10" s="37" t="s">
        <v>392</v>
      </c>
      <c r="AA10" s="37" t="s">
        <v>321</v>
      </c>
      <c r="AB10" s="37" t="s">
        <v>307</v>
      </c>
    </row>
    <row r="11" spans="4:33" s="32" customFormat="1" ht="27" customHeight="1" x14ac:dyDescent="0.25">
      <c r="D11" s="37" t="s">
        <v>351</v>
      </c>
      <c r="E11" s="37" t="s">
        <v>310</v>
      </c>
      <c r="F11" s="38" t="s">
        <v>389</v>
      </c>
      <c r="G11" s="37" t="s">
        <v>304</v>
      </c>
      <c r="H11" s="37">
        <v>20</v>
      </c>
      <c r="I11" s="37" t="s">
        <v>307</v>
      </c>
      <c r="J11" s="37"/>
      <c r="K11" s="37"/>
      <c r="L11" s="37"/>
      <c r="M11" s="37"/>
      <c r="N11" s="38" t="s">
        <v>390</v>
      </c>
      <c r="O11" s="38" t="s">
        <v>308</v>
      </c>
      <c r="P11" s="38" t="s">
        <v>308</v>
      </c>
      <c r="Q11" s="37"/>
      <c r="R11" s="37" t="s">
        <v>311</v>
      </c>
      <c r="S11" s="37" t="s">
        <v>391</v>
      </c>
      <c r="T11" s="37"/>
      <c r="U11" s="37"/>
      <c r="V11" s="37"/>
      <c r="W11" s="37"/>
      <c r="X11" s="37"/>
      <c r="Y11" s="37"/>
      <c r="Z11" s="37" t="s">
        <v>392</v>
      </c>
      <c r="AA11" s="37" t="s">
        <v>416</v>
      </c>
      <c r="AB11" s="37" t="s">
        <v>307</v>
      </c>
      <c r="AG11" s="33"/>
    </row>
    <row r="12" spans="4:33" s="32" customFormat="1" ht="27" customHeight="1" x14ac:dyDescent="0.25">
      <c r="D12" s="37" t="s">
        <v>351</v>
      </c>
      <c r="E12" s="37" t="s">
        <v>310</v>
      </c>
      <c r="F12" s="38" t="s">
        <v>358</v>
      </c>
      <c r="G12" s="37" t="s">
        <v>304</v>
      </c>
      <c r="H12" s="37">
        <v>72</v>
      </c>
      <c r="I12" s="37" t="s">
        <v>307</v>
      </c>
      <c r="J12" s="37"/>
      <c r="K12" s="37"/>
      <c r="L12" s="37"/>
      <c r="M12" s="37"/>
      <c r="N12" s="38" t="s">
        <v>359</v>
      </c>
      <c r="O12" s="38" t="s">
        <v>369</v>
      </c>
      <c r="P12" s="38" t="s">
        <v>281</v>
      </c>
      <c r="Q12" s="37"/>
      <c r="R12" s="37" t="s">
        <v>311</v>
      </c>
      <c r="S12" s="37" t="s">
        <v>388</v>
      </c>
      <c r="T12" s="37"/>
      <c r="U12" s="37"/>
      <c r="V12" s="37"/>
      <c r="W12" s="37"/>
      <c r="X12" s="37"/>
      <c r="Y12" s="37"/>
      <c r="Z12" s="37" t="s">
        <v>392</v>
      </c>
      <c r="AA12" s="37" t="s">
        <v>360</v>
      </c>
      <c r="AB12" s="37" t="s">
        <v>307</v>
      </c>
      <c r="AG12" s="33"/>
    </row>
    <row r="13" spans="4:33" s="32" customFormat="1" ht="27" customHeight="1" x14ac:dyDescent="0.25">
      <c r="D13" s="37" t="s">
        <v>351</v>
      </c>
      <c r="E13" s="37" t="s">
        <v>310</v>
      </c>
      <c r="F13" s="38" t="s">
        <v>336</v>
      </c>
      <c r="G13" s="37" t="s">
        <v>306</v>
      </c>
      <c r="H13" s="37">
        <v>48</v>
      </c>
      <c r="I13" s="37" t="s">
        <v>413</v>
      </c>
      <c r="J13" s="37"/>
      <c r="K13" s="37"/>
      <c r="L13" s="37"/>
      <c r="M13" s="37"/>
      <c r="N13" s="37" t="s">
        <v>414</v>
      </c>
      <c r="O13" s="37" t="s">
        <v>345</v>
      </c>
      <c r="P13" s="37" t="s">
        <v>308</v>
      </c>
      <c r="Q13" s="37"/>
      <c r="R13" s="37" t="s">
        <v>311</v>
      </c>
      <c r="S13" s="37" t="s">
        <v>379</v>
      </c>
      <c r="T13" s="37"/>
      <c r="U13" s="37"/>
      <c r="V13" s="37"/>
      <c r="W13" s="37"/>
      <c r="X13" s="37"/>
      <c r="Y13" s="37"/>
      <c r="Z13" s="37" t="s">
        <v>392</v>
      </c>
      <c r="AA13" s="37" t="s">
        <v>415</v>
      </c>
      <c r="AB13" s="37" t="s">
        <v>307</v>
      </c>
      <c r="AG13" s="33"/>
    </row>
    <row r="14" spans="4:33" s="32" customFormat="1" ht="27" customHeight="1" x14ac:dyDescent="0.25">
      <c r="D14" s="37" t="s">
        <v>351</v>
      </c>
      <c r="E14" s="37" t="s">
        <v>310</v>
      </c>
      <c r="F14" s="38" t="s">
        <v>377</v>
      </c>
      <c r="G14" s="37" t="s">
        <v>306</v>
      </c>
      <c r="H14" s="37">
        <v>36</v>
      </c>
      <c r="I14" s="37" t="s">
        <v>378</v>
      </c>
      <c r="J14" s="37"/>
      <c r="K14" s="37"/>
      <c r="L14" s="37"/>
      <c r="M14" s="37"/>
      <c r="N14" s="37" t="s">
        <v>411</v>
      </c>
      <c r="O14" s="37" t="s">
        <v>357</v>
      </c>
      <c r="P14" s="37" t="s">
        <v>308</v>
      </c>
      <c r="Q14" s="37"/>
      <c r="R14" s="37" t="s">
        <v>311</v>
      </c>
      <c r="S14" s="37" t="s">
        <v>374</v>
      </c>
      <c r="T14" s="37"/>
      <c r="U14" s="37"/>
      <c r="V14" s="37"/>
      <c r="W14" s="37"/>
      <c r="X14" s="37"/>
      <c r="Y14" s="37"/>
      <c r="Z14" s="37" t="s">
        <v>392</v>
      </c>
      <c r="AA14" s="37" t="s">
        <v>412</v>
      </c>
      <c r="AB14" s="37" t="s">
        <v>307</v>
      </c>
      <c r="AG14" s="33"/>
    </row>
    <row r="15" spans="4:33" s="32" customFormat="1" ht="27" customHeight="1" x14ac:dyDescent="0.25">
      <c r="D15" s="37" t="s">
        <v>351</v>
      </c>
      <c r="E15" s="37" t="s">
        <v>310</v>
      </c>
      <c r="F15" s="38" t="s">
        <v>312</v>
      </c>
      <c r="G15" s="37" t="s">
        <v>306</v>
      </c>
      <c r="H15" s="37">
        <v>47</v>
      </c>
      <c r="I15" s="37" t="s">
        <v>382</v>
      </c>
      <c r="J15" s="37"/>
      <c r="K15" s="37"/>
      <c r="L15" s="37"/>
      <c r="M15" s="37"/>
      <c r="N15" s="37" t="s">
        <v>381</v>
      </c>
      <c r="O15" s="37" t="s">
        <v>380</v>
      </c>
      <c r="P15" s="37" t="s">
        <v>281</v>
      </c>
      <c r="Q15" s="37"/>
      <c r="R15" s="37" t="s">
        <v>311</v>
      </c>
      <c r="S15" s="37" t="s">
        <v>384</v>
      </c>
      <c r="T15" s="37"/>
      <c r="U15" s="37"/>
      <c r="V15" s="37"/>
      <c r="W15" s="37"/>
      <c r="X15" s="37"/>
      <c r="Y15" s="37"/>
      <c r="Z15" s="37" t="s">
        <v>392</v>
      </c>
      <c r="AA15" s="37" t="s">
        <v>383</v>
      </c>
      <c r="AB15" s="37" t="s">
        <v>307</v>
      </c>
      <c r="AG15" s="33"/>
    </row>
    <row r="16" spans="4:33" s="32" customFormat="1" ht="27" customHeight="1" x14ac:dyDescent="0.25">
      <c r="D16" s="37" t="s">
        <v>351</v>
      </c>
      <c r="E16" s="37" t="s">
        <v>310</v>
      </c>
      <c r="F16" s="38" t="s">
        <v>334</v>
      </c>
      <c r="G16" s="37" t="s">
        <v>304</v>
      </c>
      <c r="H16" s="37">
        <v>53</v>
      </c>
      <c r="I16" s="37" t="s">
        <v>335</v>
      </c>
      <c r="J16" s="37"/>
      <c r="K16" s="37"/>
      <c r="L16" s="37"/>
      <c r="M16" s="37"/>
      <c r="N16" s="37" t="s">
        <v>409</v>
      </c>
      <c r="O16" s="37" t="s">
        <v>396</v>
      </c>
      <c r="P16" s="37" t="s">
        <v>285</v>
      </c>
      <c r="Q16" s="37"/>
      <c r="R16" s="37" t="s">
        <v>305</v>
      </c>
      <c r="S16" s="37" t="s">
        <v>410</v>
      </c>
      <c r="T16" s="37"/>
      <c r="U16" s="37"/>
      <c r="V16" s="37"/>
      <c r="W16" s="37"/>
      <c r="X16" s="37"/>
      <c r="Y16" s="37"/>
      <c r="Z16" s="37" t="s">
        <v>392</v>
      </c>
      <c r="AA16" s="37" t="s">
        <v>327</v>
      </c>
      <c r="AB16" s="37" t="s">
        <v>307</v>
      </c>
      <c r="AG16" s="33"/>
    </row>
    <row r="17" spans="4:33" s="32" customFormat="1" ht="27" customHeight="1" x14ac:dyDescent="0.25">
      <c r="D17" s="37" t="s">
        <v>351</v>
      </c>
      <c r="E17" s="37" t="s">
        <v>310</v>
      </c>
      <c r="F17" s="38" t="s">
        <v>318</v>
      </c>
      <c r="G17" s="37" t="s">
        <v>306</v>
      </c>
      <c r="H17" s="37">
        <v>48</v>
      </c>
      <c r="I17" s="37" t="s">
        <v>407</v>
      </c>
      <c r="J17" s="37"/>
      <c r="K17" s="37"/>
      <c r="L17" s="37"/>
      <c r="M17" s="37"/>
      <c r="N17" s="37" t="s">
        <v>320</v>
      </c>
      <c r="O17" s="37" t="s">
        <v>347</v>
      </c>
      <c r="P17" s="37" t="s">
        <v>308</v>
      </c>
      <c r="Q17" s="37"/>
      <c r="R17" s="37" t="s">
        <v>319</v>
      </c>
      <c r="S17" s="37" t="s">
        <v>408</v>
      </c>
      <c r="T17" s="37"/>
      <c r="U17" s="37"/>
      <c r="V17" s="37"/>
      <c r="W17" s="37"/>
      <c r="X17" s="37"/>
      <c r="Y17" s="37"/>
      <c r="Z17" s="37" t="s">
        <v>392</v>
      </c>
      <c r="AA17" s="37">
        <v>0</v>
      </c>
      <c r="AB17" s="37" t="s">
        <v>307</v>
      </c>
      <c r="AG17" s="33"/>
    </row>
    <row r="18" spans="4:33" s="32" customFormat="1" ht="27" customHeight="1" x14ac:dyDescent="0.25">
      <c r="D18" s="37" t="s">
        <v>351</v>
      </c>
      <c r="E18" s="37" t="s">
        <v>310</v>
      </c>
      <c r="F18" s="38" t="s">
        <v>362</v>
      </c>
      <c r="G18" s="37" t="s">
        <v>304</v>
      </c>
      <c r="H18" s="37">
        <v>45</v>
      </c>
      <c r="I18" s="37" t="s">
        <v>364</v>
      </c>
      <c r="J18" s="37"/>
      <c r="K18" s="37"/>
      <c r="L18" s="37"/>
      <c r="M18" s="37"/>
      <c r="N18" s="37" t="s">
        <v>363</v>
      </c>
      <c r="O18" s="37" t="s">
        <v>338</v>
      </c>
      <c r="P18" s="37" t="s">
        <v>308</v>
      </c>
      <c r="Q18" s="37"/>
      <c r="R18" s="37" t="s">
        <v>311</v>
      </c>
      <c r="S18" s="37" t="s">
        <v>384</v>
      </c>
      <c r="T18" s="37"/>
      <c r="U18" s="37"/>
      <c r="V18" s="37"/>
      <c r="W18" s="37"/>
      <c r="X18" s="37"/>
      <c r="Y18" s="37"/>
      <c r="Z18" s="37" t="s">
        <v>392</v>
      </c>
      <c r="AA18" s="37" t="s">
        <v>365</v>
      </c>
      <c r="AB18" s="37" t="s">
        <v>307</v>
      </c>
      <c r="AG18" s="33"/>
    </row>
    <row r="19" spans="4:33" s="32" customFormat="1" ht="27" customHeight="1" x14ac:dyDescent="0.25">
      <c r="D19" s="37" t="s">
        <v>351</v>
      </c>
      <c r="E19" s="37" t="s">
        <v>310</v>
      </c>
      <c r="F19" s="38" t="s">
        <v>326</v>
      </c>
      <c r="G19" s="37" t="s">
        <v>306</v>
      </c>
      <c r="H19" s="37">
        <v>24</v>
      </c>
      <c r="I19" s="37" t="s">
        <v>328</v>
      </c>
      <c r="J19" s="37"/>
      <c r="K19" s="37"/>
      <c r="L19" s="37"/>
      <c r="M19" s="37"/>
      <c r="N19" s="37" t="s">
        <v>405</v>
      </c>
      <c r="O19" s="37" t="s">
        <v>283</v>
      </c>
      <c r="P19" s="37" t="s">
        <v>283</v>
      </c>
      <c r="Q19" s="37"/>
      <c r="R19" s="37" t="s">
        <v>311</v>
      </c>
      <c r="S19" s="37" t="s">
        <v>406</v>
      </c>
      <c r="T19" s="37"/>
      <c r="U19" s="37"/>
      <c r="V19" s="37"/>
      <c r="W19" s="37"/>
      <c r="X19" s="37"/>
      <c r="Y19" s="37"/>
      <c r="Z19" s="37" t="s">
        <v>392</v>
      </c>
      <c r="AA19" s="37" t="s">
        <v>329</v>
      </c>
      <c r="AB19" s="37" t="s">
        <v>307</v>
      </c>
      <c r="AG19" s="33"/>
    </row>
    <row r="20" spans="4:33" s="32" customFormat="1" x14ac:dyDescent="0.25">
      <c r="F20" s="33"/>
      <c r="N20" s="33"/>
      <c r="O20" s="33"/>
      <c r="P20" s="33"/>
      <c r="AA20" s="37"/>
      <c r="AG20" s="33"/>
    </row>
  </sheetData>
  <conditionalFormatting sqref="F3:F19">
    <cfRule type="duplicateValues" dxfId="64" priority="1"/>
  </conditionalFormatting>
  <dataValidations count="1">
    <dataValidation type="list" allowBlank="1" showInputMessage="1" showErrorMessage="1" errorTitle="pilihan" sqref="AD3:AD20">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
  <sheetViews>
    <sheetView zoomScale="70" zoomScaleNormal="70" workbookViewId="0">
      <selection activeCell="A24" sqref="A24:AF44"/>
    </sheetView>
  </sheetViews>
  <sheetFormatPr defaultRowHeight="15" x14ac:dyDescent="0.25"/>
  <cols>
    <col min="1" max="1" width="7.28515625" customWidth="1"/>
    <col min="2" max="2" width="22.85546875" customWidth="1"/>
    <col min="3" max="4" width="27" customWidth="1"/>
    <col min="5" max="5" width="19.140625" customWidth="1"/>
    <col min="6" max="6" width="22.28515625" customWidth="1"/>
    <col min="7" max="7" width="48.42578125" customWidth="1"/>
    <col min="8" max="8" width="12.42578125" customWidth="1"/>
    <col min="9" max="9" width="20.5703125" customWidth="1"/>
    <col min="10" max="10" width="21.140625" customWidth="1"/>
    <col min="11" max="11" width="14.7109375" customWidth="1"/>
    <col min="12" max="12" width="13.140625" customWidth="1"/>
    <col min="13" max="13" width="12" customWidth="1"/>
    <col min="18" max="18" width="15.5703125" customWidth="1"/>
    <col min="19" max="19" width="15.140625" customWidth="1"/>
    <col min="20" max="20" width="14.140625" customWidth="1"/>
    <col min="21" max="21" width="22.42578125" customWidth="1"/>
    <col min="22" max="22" width="13" customWidth="1"/>
    <col min="23" max="23" width="16.85546875" customWidth="1"/>
    <col min="24" max="24" width="14.85546875" customWidth="1"/>
    <col min="25" max="25" width="27.5703125" customWidth="1"/>
    <col min="26" max="26" width="22.28515625" customWidth="1"/>
    <col min="27" max="27" width="21.140625" customWidth="1"/>
    <col min="28" max="28" width="18.28515625" customWidth="1"/>
    <col min="30" max="30" width="19.85546875" customWidth="1"/>
    <col min="31" max="31" width="17.7109375" customWidth="1"/>
    <col min="32" max="32" width="23.28515625" style="26" customWidth="1"/>
    <col min="33" max="33" width="14.42578125" customWidth="1"/>
  </cols>
  <sheetData>
    <row r="1" spans="1:32" x14ac:dyDescent="0.25">
      <c r="A1" t="s">
        <v>468</v>
      </c>
      <c r="B1" s="82" t="s">
        <v>442</v>
      </c>
      <c r="C1" t="s">
        <v>431</v>
      </c>
      <c r="D1" t="s">
        <v>463</v>
      </c>
      <c r="E1" t="s">
        <v>432</v>
      </c>
      <c r="F1" t="s">
        <v>2</v>
      </c>
      <c r="G1" t="s">
        <v>433</v>
      </c>
      <c r="H1" t="s">
        <v>465</v>
      </c>
      <c r="I1" t="s">
        <v>466</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469</v>
      </c>
      <c r="AA1" t="s">
        <v>470</v>
      </c>
      <c r="AB1" s="84" t="s">
        <v>471</v>
      </c>
      <c r="AC1" t="s">
        <v>454</v>
      </c>
      <c r="AD1" s="83" t="s">
        <v>455</v>
      </c>
      <c r="AE1" s="83" t="s">
        <v>456</v>
      </c>
      <c r="AF1" s="83" t="s">
        <v>472</v>
      </c>
    </row>
    <row r="2" spans="1:32" x14ac:dyDescent="0.25">
      <c r="A2">
        <v>1</v>
      </c>
      <c r="B2" s="82" t="s">
        <v>483</v>
      </c>
      <c r="C2" t="s">
        <v>484</v>
      </c>
      <c r="D2" t="s">
        <v>462</v>
      </c>
      <c r="E2" t="s">
        <v>282</v>
      </c>
      <c r="F2" t="s">
        <v>284</v>
      </c>
      <c r="G2" t="s">
        <v>485</v>
      </c>
      <c r="H2">
        <v>5</v>
      </c>
      <c r="I2">
        <v>1</v>
      </c>
      <c r="J2" t="s">
        <v>485</v>
      </c>
      <c r="K2">
        <v>36</v>
      </c>
      <c r="L2" t="s">
        <v>304</v>
      </c>
      <c r="M2" t="s">
        <v>486</v>
      </c>
      <c r="N2" t="s">
        <v>458</v>
      </c>
      <c r="O2" t="s">
        <v>459</v>
      </c>
      <c r="P2" t="s">
        <v>480</v>
      </c>
      <c r="U2" s="84"/>
      <c r="V2" t="s">
        <v>481</v>
      </c>
      <c r="W2" s="84">
        <v>44519</v>
      </c>
      <c r="X2" s="84"/>
      <c r="Y2" t="s">
        <v>457</v>
      </c>
      <c r="AB2" s="84"/>
      <c r="AC2">
        <v>0</v>
      </c>
      <c r="AD2" s="83">
        <v>44519.320983796002</v>
      </c>
      <c r="AE2" s="83">
        <v>44519.320983796002</v>
      </c>
    </row>
    <row r="3" spans="1:32" x14ac:dyDescent="0.25">
      <c r="A3">
        <v>2</v>
      </c>
      <c r="B3" s="82" t="s">
        <v>487</v>
      </c>
      <c r="C3" t="s">
        <v>488</v>
      </c>
      <c r="D3" t="s">
        <v>462</v>
      </c>
      <c r="E3" t="s">
        <v>282</v>
      </c>
      <c r="F3" t="s">
        <v>284</v>
      </c>
      <c r="G3" t="s">
        <v>485</v>
      </c>
      <c r="H3">
        <v>5</v>
      </c>
      <c r="I3">
        <v>1</v>
      </c>
      <c r="J3" t="s">
        <v>485</v>
      </c>
      <c r="K3">
        <v>21</v>
      </c>
      <c r="L3" t="s">
        <v>304</v>
      </c>
      <c r="M3" t="s">
        <v>479</v>
      </c>
      <c r="N3" t="s">
        <v>458</v>
      </c>
      <c r="O3" t="s">
        <v>459</v>
      </c>
      <c r="P3" t="s">
        <v>480</v>
      </c>
      <c r="U3" s="84"/>
      <c r="V3" t="s">
        <v>481</v>
      </c>
      <c r="W3" s="84">
        <v>44519</v>
      </c>
      <c r="X3" s="84"/>
      <c r="Y3" t="s">
        <v>457</v>
      </c>
      <c r="AB3" s="84"/>
      <c r="AC3">
        <v>0</v>
      </c>
      <c r="AD3" s="83">
        <v>44519.321550925997</v>
      </c>
      <c r="AE3" s="83">
        <v>44519.321550925997</v>
      </c>
    </row>
    <row r="4" spans="1:32" x14ac:dyDescent="0.25">
      <c r="A4">
        <v>3</v>
      </c>
      <c r="B4" s="82" t="s">
        <v>489</v>
      </c>
      <c r="C4" t="s">
        <v>490</v>
      </c>
      <c r="D4" t="s">
        <v>462</v>
      </c>
      <c r="E4" t="s">
        <v>282</v>
      </c>
      <c r="F4" t="s">
        <v>284</v>
      </c>
      <c r="G4" t="s">
        <v>370</v>
      </c>
      <c r="H4">
        <v>4</v>
      </c>
      <c r="I4">
        <v>2</v>
      </c>
      <c r="J4" t="s">
        <v>491</v>
      </c>
      <c r="K4">
        <v>30</v>
      </c>
      <c r="L4" t="s">
        <v>306</v>
      </c>
      <c r="M4" t="s">
        <v>479</v>
      </c>
      <c r="N4" t="s">
        <v>458</v>
      </c>
      <c r="O4" t="s">
        <v>459</v>
      </c>
      <c r="P4" t="s">
        <v>480</v>
      </c>
      <c r="U4" s="84"/>
      <c r="V4" t="s">
        <v>481</v>
      </c>
      <c r="W4" s="84">
        <v>44519</v>
      </c>
      <c r="X4" s="84"/>
      <c r="Y4" t="s">
        <v>457</v>
      </c>
      <c r="AB4" s="84"/>
      <c r="AC4">
        <v>0</v>
      </c>
      <c r="AD4" s="83">
        <v>44519.322546296004</v>
      </c>
      <c r="AE4" s="83">
        <v>44519.322546296004</v>
      </c>
    </row>
    <row r="5" spans="1:32" x14ac:dyDescent="0.25">
      <c r="A5">
        <v>4</v>
      </c>
      <c r="B5" s="82" t="s">
        <v>492</v>
      </c>
      <c r="C5" t="s">
        <v>493</v>
      </c>
      <c r="D5" t="s">
        <v>462</v>
      </c>
      <c r="E5" t="s">
        <v>282</v>
      </c>
      <c r="F5" t="s">
        <v>284</v>
      </c>
      <c r="G5" t="s">
        <v>370</v>
      </c>
      <c r="H5">
        <v>3</v>
      </c>
      <c r="I5">
        <v>3</v>
      </c>
      <c r="J5" t="s">
        <v>494</v>
      </c>
      <c r="K5">
        <v>22</v>
      </c>
      <c r="L5" t="s">
        <v>306</v>
      </c>
      <c r="M5" t="s">
        <v>479</v>
      </c>
      <c r="N5" t="s">
        <v>458</v>
      </c>
      <c r="O5" t="s">
        <v>459</v>
      </c>
      <c r="P5" t="s">
        <v>480</v>
      </c>
      <c r="U5" s="84"/>
      <c r="V5" t="s">
        <v>481</v>
      </c>
      <c r="W5" s="84">
        <v>44519</v>
      </c>
      <c r="X5" s="84"/>
      <c r="Y5" t="s">
        <v>457</v>
      </c>
      <c r="AB5" s="84"/>
      <c r="AC5">
        <v>0</v>
      </c>
      <c r="AD5" s="83">
        <v>44519.323252315</v>
      </c>
      <c r="AE5" s="83">
        <v>44519.323252315</v>
      </c>
    </row>
    <row r="6" spans="1:32" x14ac:dyDescent="0.25">
      <c r="A6">
        <v>5</v>
      </c>
      <c r="B6" s="82" t="s">
        <v>495</v>
      </c>
      <c r="C6" t="s">
        <v>496</v>
      </c>
      <c r="D6" t="s">
        <v>462</v>
      </c>
      <c r="E6" t="s">
        <v>282</v>
      </c>
      <c r="F6" t="s">
        <v>284</v>
      </c>
      <c r="G6" t="s">
        <v>485</v>
      </c>
      <c r="H6">
        <v>6</v>
      </c>
      <c r="I6">
        <v>2</v>
      </c>
      <c r="J6" t="s">
        <v>497</v>
      </c>
      <c r="K6">
        <v>77</v>
      </c>
      <c r="L6" t="s">
        <v>306</v>
      </c>
      <c r="M6" t="s">
        <v>498</v>
      </c>
      <c r="N6" t="s">
        <v>458</v>
      </c>
      <c r="O6" t="s">
        <v>459</v>
      </c>
      <c r="P6" t="s">
        <v>480</v>
      </c>
      <c r="U6" s="84"/>
      <c r="V6" t="s">
        <v>481</v>
      </c>
      <c r="W6" s="84">
        <v>44520</v>
      </c>
      <c r="X6" s="84"/>
      <c r="Y6" t="s">
        <v>457</v>
      </c>
      <c r="AB6" s="84"/>
      <c r="AC6">
        <v>0</v>
      </c>
      <c r="AD6" s="83">
        <v>44520.337453704</v>
      </c>
      <c r="AE6" s="83">
        <v>44520.337453704</v>
      </c>
    </row>
    <row r="7" spans="1:32" x14ac:dyDescent="0.25">
      <c r="A7">
        <v>6</v>
      </c>
      <c r="B7" s="82" t="s">
        <v>499</v>
      </c>
      <c r="C7" t="s">
        <v>500</v>
      </c>
      <c r="D7" t="s">
        <v>462</v>
      </c>
      <c r="E7" t="s">
        <v>282</v>
      </c>
      <c r="F7" t="s">
        <v>284</v>
      </c>
      <c r="G7" t="s">
        <v>485</v>
      </c>
      <c r="H7">
        <v>6</v>
      </c>
      <c r="I7">
        <v>2</v>
      </c>
      <c r="J7" t="s">
        <v>497</v>
      </c>
      <c r="K7">
        <v>79</v>
      </c>
      <c r="L7" t="s">
        <v>304</v>
      </c>
      <c r="M7" t="s">
        <v>501</v>
      </c>
      <c r="N7" t="s">
        <v>458</v>
      </c>
      <c r="O7" t="s">
        <v>459</v>
      </c>
      <c r="P7" t="s">
        <v>480</v>
      </c>
      <c r="U7" s="84"/>
      <c r="V7" t="s">
        <v>481</v>
      </c>
      <c r="W7" s="84">
        <v>44520</v>
      </c>
      <c r="X7" s="84"/>
      <c r="Y7" t="s">
        <v>457</v>
      </c>
      <c r="AB7" s="84"/>
      <c r="AC7">
        <v>0</v>
      </c>
      <c r="AD7" s="83">
        <v>44520.338148148003</v>
      </c>
      <c r="AE7" s="83">
        <v>44520.338148148003</v>
      </c>
    </row>
    <row r="8" spans="1:32" x14ac:dyDescent="0.25">
      <c r="A8">
        <v>7</v>
      </c>
      <c r="B8" s="82" t="s">
        <v>502</v>
      </c>
      <c r="C8" t="s">
        <v>503</v>
      </c>
      <c r="D8" t="s">
        <v>462</v>
      </c>
      <c r="E8" t="s">
        <v>282</v>
      </c>
      <c r="F8" t="s">
        <v>284</v>
      </c>
      <c r="G8" t="s">
        <v>485</v>
      </c>
      <c r="H8">
        <v>3</v>
      </c>
      <c r="I8">
        <v>1</v>
      </c>
      <c r="J8" t="s">
        <v>497</v>
      </c>
      <c r="K8">
        <v>22</v>
      </c>
      <c r="L8" t="s">
        <v>304</v>
      </c>
      <c r="M8" t="s">
        <v>504</v>
      </c>
      <c r="N8" t="s">
        <v>458</v>
      </c>
      <c r="O8" t="s">
        <v>459</v>
      </c>
      <c r="P8" t="s">
        <v>480</v>
      </c>
      <c r="U8" s="84"/>
      <c r="V8" t="s">
        <v>481</v>
      </c>
      <c r="W8" s="84">
        <v>44520</v>
      </c>
      <c r="X8" s="84"/>
      <c r="Y8" t="s">
        <v>457</v>
      </c>
      <c r="AB8" s="84"/>
      <c r="AC8">
        <v>0</v>
      </c>
      <c r="AD8" s="83">
        <v>44520.338958332999</v>
      </c>
      <c r="AE8" s="83">
        <v>44520.338958332999</v>
      </c>
    </row>
    <row r="9" spans="1:32" x14ac:dyDescent="0.25">
      <c r="A9">
        <v>8</v>
      </c>
      <c r="B9" s="82" t="s">
        <v>505</v>
      </c>
      <c r="C9" t="s">
        <v>506</v>
      </c>
      <c r="D9" t="s">
        <v>462</v>
      </c>
      <c r="E9" t="s">
        <v>282</v>
      </c>
      <c r="F9" t="s">
        <v>283</v>
      </c>
      <c r="G9" t="s">
        <v>507</v>
      </c>
      <c r="H9">
        <v>6</v>
      </c>
      <c r="I9">
        <v>3</v>
      </c>
      <c r="J9" t="s">
        <v>507</v>
      </c>
      <c r="K9">
        <v>35</v>
      </c>
      <c r="L9" t="s">
        <v>306</v>
      </c>
      <c r="M9" t="s">
        <v>479</v>
      </c>
      <c r="N9" t="s">
        <v>458</v>
      </c>
      <c r="O9" t="s">
        <v>459</v>
      </c>
      <c r="P9" t="s">
        <v>480</v>
      </c>
      <c r="U9" s="84"/>
      <c r="V9" t="s">
        <v>481</v>
      </c>
      <c r="W9" s="84">
        <v>44522</v>
      </c>
      <c r="X9" s="84"/>
      <c r="Y9" t="s">
        <v>457</v>
      </c>
      <c r="AB9" s="84"/>
      <c r="AC9">
        <v>0</v>
      </c>
      <c r="AD9" s="83">
        <v>44522.479826388997</v>
      </c>
      <c r="AE9" s="83">
        <v>44522.479826388997</v>
      </c>
    </row>
    <row r="10" spans="1:32" x14ac:dyDescent="0.25">
      <c r="A10">
        <v>9</v>
      </c>
      <c r="B10" s="82" t="s">
        <v>508</v>
      </c>
      <c r="C10" t="s">
        <v>509</v>
      </c>
      <c r="D10" t="s">
        <v>462</v>
      </c>
      <c r="E10" t="s">
        <v>282</v>
      </c>
      <c r="F10" t="s">
        <v>284</v>
      </c>
      <c r="G10" t="s">
        <v>395</v>
      </c>
      <c r="H10">
        <v>1</v>
      </c>
      <c r="I10">
        <v>5</v>
      </c>
      <c r="J10" t="s">
        <v>395</v>
      </c>
      <c r="K10">
        <v>28</v>
      </c>
      <c r="L10" t="s">
        <v>304</v>
      </c>
      <c r="M10" t="s">
        <v>479</v>
      </c>
      <c r="N10" t="s">
        <v>458</v>
      </c>
      <c r="O10" t="s">
        <v>459</v>
      </c>
      <c r="P10" t="s">
        <v>480</v>
      </c>
      <c r="U10" s="84"/>
      <c r="V10" t="s">
        <v>481</v>
      </c>
      <c r="W10" s="84">
        <v>44522</v>
      </c>
      <c r="X10" s="84"/>
      <c r="Y10" t="s">
        <v>457</v>
      </c>
      <c r="AB10" s="84"/>
      <c r="AC10">
        <v>0</v>
      </c>
      <c r="AD10" s="83">
        <v>44522.480439815001</v>
      </c>
      <c r="AE10" s="83">
        <v>44522.480439815001</v>
      </c>
    </row>
    <row r="11" spans="1:32" x14ac:dyDescent="0.25">
      <c r="A11">
        <v>10</v>
      </c>
      <c r="B11" s="82" t="s">
        <v>511</v>
      </c>
      <c r="C11" t="s">
        <v>512</v>
      </c>
      <c r="D11" t="s">
        <v>462</v>
      </c>
      <c r="E11" t="s">
        <v>282</v>
      </c>
      <c r="F11" t="s">
        <v>284</v>
      </c>
      <c r="G11" t="s">
        <v>337</v>
      </c>
      <c r="H11">
        <v>1</v>
      </c>
      <c r="I11">
        <v>1</v>
      </c>
      <c r="J11" t="s">
        <v>513</v>
      </c>
      <c r="K11">
        <v>42</v>
      </c>
      <c r="L11" t="s">
        <v>306</v>
      </c>
      <c r="M11" t="s">
        <v>479</v>
      </c>
      <c r="N11" t="s">
        <v>458</v>
      </c>
      <c r="O11" t="s">
        <v>459</v>
      </c>
      <c r="P11" t="s">
        <v>480</v>
      </c>
      <c r="U11" s="84"/>
      <c r="V11" t="s">
        <v>481</v>
      </c>
      <c r="W11" s="84">
        <v>44524</v>
      </c>
      <c r="X11" s="84"/>
      <c r="Y11" t="s">
        <v>457</v>
      </c>
      <c r="AB11" s="84"/>
      <c r="AC11">
        <v>0</v>
      </c>
      <c r="AD11" s="83">
        <v>44524.411006943999</v>
      </c>
      <c r="AE11" s="83">
        <v>44524.411006943999</v>
      </c>
    </row>
    <row r="12" spans="1:32" x14ac:dyDescent="0.25">
      <c r="A12">
        <v>11</v>
      </c>
      <c r="B12" s="82" t="s">
        <v>514</v>
      </c>
      <c r="C12" t="s">
        <v>515</v>
      </c>
      <c r="D12" t="s">
        <v>462</v>
      </c>
      <c r="E12" t="s">
        <v>282</v>
      </c>
      <c r="F12" t="s">
        <v>284</v>
      </c>
      <c r="G12" t="s">
        <v>337</v>
      </c>
      <c r="H12">
        <v>3</v>
      </c>
      <c r="I12">
        <v>3</v>
      </c>
      <c r="J12" t="s">
        <v>510</v>
      </c>
      <c r="K12">
        <v>32</v>
      </c>
      <c r="L12" t="s">
        <v>304</v>
      </c>
      <c r="M12" t="s">
        <v>516</v>
      </c>
      <c r="N12" t="s">
        <v>458</v>
      </c>
      <c r="O12" t="s">
        <v>459</v>
      </c>
      <c r="P12" t="s">
        <v>480</v>
      </c>
      <c r="U12" s="84"/>
      <c r="V12" t="s">
        <v>481</v>
      </c>
      <c r="W12" s="84">
        <v>44524</v>
      </c>
      <c r="X12" s="84"/>
      <c r="Y12" t="s">
        <v>457</v>
      </c>
      <c r="AB12" s="84"/>
      <c r="AC12">
        <v>0</v>
      </c>
      <c r="AD12" s="83">
        <v>44524.413391203998</v>
      </c>
      <c r="AE12" s="83">
        <v>44524.413391203998</v>
      </c>
    </row>
    <row r="13" spans="1:32" x14ac:dyDescent="0.25">
      <c r="A13">
        <v>12</v>
      </c>
      <c r="B13" s="82" t="s">
        <v>517</v>
      </c>
      <c r="C13" t="s">
        <v>518</v>
      </c>
      <c r="D13" t="s">
        <v>462</v>
      </c>
      <c r="E13" t="s">
        <v>282</v>
      </c>
      <c r="F13" t="s">
        <v>284</v>
      </c>
      <c r="G13" t="s">
        <v>337</v>
      </c>
      <c r="H13">
        <v>3</v>
      </c>
      <c r="I13">
        <v>3</v>
      </c>
      <c r="J13" t="s">
        <v>510</v>
      </c>
      <c r="K13">
        <v>29</v>
      </c>
      <c r="L13" t="s">
        <v>306</v>
      </c>
      <c r="M13" t="s">
        <v>516</v>
      </c>
      <c r="N13" t="s">
        <v>458</v>
      </c>
      <c r="O13" t="s">
        <v>459</v>
      </c>
      <c r="P13" t="s">
        <v>480</v>
      </c>
      <c r="U13" s="84"/>
      <c r="V13" t="s">
        <v>481</v>
      </c>
      <c r="W13" s="84">
        <v>44524</v>
      </c>
      <c r="X13" s="84"/>
      <c r="Y13" t="s">
        <v>457</v>
      </c>
      <c r="AB13" s="84"/>
      <c r="AC13">
        <v>0</v>
      </c>
      <c r="AD13" s="83">
        <v>44524.414224537002</v>
      </c>
      <c r="AE13" s="83">
        <v>44524.414224537002</v>
      </c>
    </row>
    <row r="14" spans="1:32" x14ac:dyDescent="0.25">
      <c r="A14">
        <v>13</v>
      </c>
      <c r="B14" s="82" t="s">
        <v>519</v>
      </c>
      <c r="C14" t="s">
        <v>520</v>
      </c>
      <c r="D14" t="s">
        <v>462</v>
      </c>
      <c r="E14" t="s">
        <v>282</v>
      </c>
      <c r="F14" t="s">
        <v>284</v>
      </c>
      <c r="G14" t="s">
        <v>521</v>
      </c>
      <c r="H14">
        <v>3</v>
      </c>
      <c r="I14">
        <v>5</v>
      </c>
      <c r="J14" t="s">
        <v>522</v>
      </c>
      <c r="K14">
        <v>19</v>
      </c>
      <c r="L14" t="s">
        <v>306</v>
      </c>
      <c r="M14" t="s">
        <v>479</v>
      </c>
      <c r="N14" t="s">
        <v>458</v>
      </c>
      <c r="O14" t="s">
        <v>459</v>
      </c>
      <c r="P14" t="s">
        <v>480</v>
      </c>
      <c r="U14" s="84"/>
      <c r="V14" t="s">
        <v>481</v>
      </c>
      <c r="W14" s="84">
        <v>44524</v>
      </c>
      <c r="X14" s="84"/>
      <c r="Y14" t="s">
        <v>457</v>
      </c>
      <c r="AB14" s="84"/>
      <c r="AC14">
        <v>0</v>
      </c>
      <c r="AD14" s="83">
        <v>44524.415254630003</v>
      </c>
      <c r="AE14" s="83">
        <v>44524.415254630003</v>
      </c>
    </row>
    <row r="15" spans="1:32" x14ac:dyDescent="0.25">
      <c r="A15">
        <v>14</v>
      </c>
      <c r="B15" s="82" t="s">
        <v>523</v>
      </c>
      <c r="C15" t="s">
        <v>524</v>
      </c>
      <c r="D15" t="s">
        <v>462</v>
      </c>
      <c r="E15" t="s">
        <v>282</v>
      </c>
      <c r="F15" t="s">
        <v>284</v>
      </c>
      <c r="G15" t="s">
        <v>521</v>
      </c>
      <c r="H15">
        <v>1</v>
      </c>
      <c r="I15">
        <v>1</v>
      </c>
      <c r="J15" t="s">
        <v>525</v>
      </c>
      <c r="K15">
        <v>20</v>
      </c>
      <c r="L15" t="s">
        <v>306</v>
      </c>
      <c r="M15" t="s">
        <v>479</v>
      </c>
      <c r="N15" t="s">
        <v>458</v>
      </c>
      <c r="O15" t="s">
        <v>459</v>
      </c>
      <c r="P15" t="s">
        <v>480</v>
      </c>
      <c r="U15" s="84"/>
      <c r="V15" t="s">
        <v>481</v>
      </c>
      <c r="W15" s="84">
        <v>44525</v>
      </c>
      <c r="X15" s="84"/>
      <c r="Y15" t="s">
        <v>457</v>
      </c>
      <c r="AB15" s="84"/>
      <c r="AC15">
        <v>0</v>
      </c>
      <c r="AD15" s="83">
        <v>44525.396041667002</v>
      </c>
      <c r="AE15" s="83">
        <v>44525.396041667002</v>
      </c>
    </row>
    <row r="16" spans="1:32" x14ac:dyDescent="0.25">
      <c r="A16">
        <v>15</v>
      </c>
      <c r="B16" s="82" t="s">
        <v>526</v>
      </c>
      <c r="C16" t="s">
        <v>527</v>
      </c>
      <c r="D16" t="s">
        <v>462</v>
      </c>
      <c r="E16" t="s">
        <v>282</v>
      </c>
      <c r="F16" t="s">
        <v>284</v>
      </c>
      <c r="G16" t="s">
        <v>395</v>
      </c>
      <c r="H16">
        <v>4</v>
      </c>
      <c r="I16">
        <v>2</v>
      </c>
      <c r="J16" t="s">
        <v>395</v>
      </c>
      <c r="K16">
        <v>32</v>
      </c>
      <c r="L16" t="s">
        <v>304</v>
      </c>
      <c r="M16" t="s">
        <v>528</v>
      </c>
      <c r="N16" t="s">
        <v>458</v>
      </c>
      <c r="O16" t="s">
        <v>459</v>
      </c>
      <c r="P16" t="s">
        <v>480</v>
      </c>
      <c r="U16" s="84"/>
      <c r="V16" t="s">
        <v>481</v>
      </c>
      <c r="W16" s="84">
        <v>44525</v>
      </c>
      <c r="X16" s="84"/>
      <c r="Y16" t="s">
        <v>457</v>
      </c>
      <c r="AB16" s="84"/>
      <c r="AC16">
        <v>0</v>
      </c>
      <c r="AD16" s="83">
        <v>44525.396689815003</v>
      </c>
      <c r="AE16" s="83">
        <v>44525.396689815003</v>
      </c>
    </row>
    <row r="17" spans="1:32" x14ac:dyDescent="0.25">
      <c r="A17">
        <v>16</v>
      </c>
      <c r="B17" s="82" t="s">
        <v>529</v>
      </c>
      <c r="C17" t="s">
        <v>530</v>
      </c>
      <c r="D17" t="s">
        <v>462</v>
      </c>
      <c r="E17" t="s">
        <v>282</v>
      </c>
      <c r="F17" t="s">
        <v>284</v>
      </c>
      <c r="G17" t="s">
        <v>395</v>
      </c>
      <c r="H17">
        <v>4</v>
      </c>
      <c r="I17">
        <v>2</v>
      </c>
      <c r="J17" t="s">
        <v>395</v>
      </c>
      <c r="K17">
        <v>29</v>
      </c>
      <c r="L17" t="s">
        <v>306</v>
      </c>
      <c r="M17" t="s">
        <v>531</v>
      </c>
      <c r="N17" t="s">
        <v>458</v>
      </c>
      <c r="O17" t="s">
        <v>459</v>
      </c>
      <c r="P17" t="s">
        <v>480</v>
      </c>
      <c r="U17" s="84"/>
      <c r="V17" t="s">
        <v>481</v>
      </c>
      <c r="W17" s="84">
        <v>44525</v>
      </c>
      <c r="X17" s="84"/>
      <c r="Y17" t="s">
        <v>457</v>
      </c>
      <c r="AB17" s="84"/>
      <c r="AC17">
        <v>0</v>
      </c>
      <c r="AD17" s="83">
        <v>44525.397256944001</v>
      </c>
      <c r="AE17" s="83">
        <v>44525.397256944001</v>
      </c>
    </row>
    <row r="18" spans="1:32" x14ac:dyDescent="0.25">
      <c r="A18">
        <v>17</v>
      </c>
      <c r="B18" s="82" t="s">
        <v>532</v>
      </c>
      <c r="C18" t="s">
        <v>533</v>
      </c>
      <c r="D18" t="s">
        <v>462</v>
      </c>
      <c r="E18" t="s">
        <v>282</v>
      </c>
      <c r="F18" t="s">
        <v>282</v>
      </c>
      <c r="G18" t="s">
        <v>534</v>
      </c>
      <c r="H18">
        <v>8</v>
      </c>
      <c r="I18">
        <v>3</v>
      </c>
      <c r="J18" t="s">
        <v>535</v>
      </c>
      <c r="K18">
        <v>35</v>
      </c>
      <c r="L18" t="s">
        <v>306</v>
      </c>
      <c r="M18" t="s">
        <v>536</v>
      </c>
      <c r="N18" t="s">
        <v>458</v>
      </c>
      <c r="O18" t="s">
        <v>459</v>
      </c>
      <c r="P18" t="s">
        <v>480</v>
      </c>
      <c r="U18" s="84"/>
      <c r="V18" t="s">
        <v>481</v>
      </c>
      <c r="W18" s="84">
        <v>44526</v>
      </c>
      <c r="X18" s="84"/>
      <c r="Y18" t="s">
        <v>457</v>
      </c>
      <c r="AB18" s="84"/>
      <c r="AC18">
        <v>0</v>
      </c>
      <c r="AD18" s="83">
        <v>44526.423993056</v>
      </c>
      <c r="AE18" s="83">
        <v>44526.423993056</v>
      </c>
    </row>
    <row r="19" spans="1:32" x14ac:dyDescent="0.25">
      <c r="A19">
        <v>18</v>
      </c>
      <c r="B19" s="82" t="s">
        <v>537</v>
      </c>
      <c r="C19" t="s">
        <v>538</v>
      </c>
      <c r="D19" t="s">
        <v>462</v>
      </c>
      <c r="E19" t="s">
        <v>282</v>
      </c>
      <c r="F19" t="s">
        <v>284</v>
      </c>
      <c r="G19" t="s">
        <v>352</v>
      </c>
      <c r="H19">
        <v>2</v>
      </c>
      <c r="I19">
        <v>4</v>
      </c>
      <c r="J19" t="s">
        <v>352</v>
      </c>
      <c r="K19">
        <v>25</v>
      </c>
      <c r="L19" t="s">
        <v>304</v>
      </c>
      <c r="M19" t="s">
        <v>479</v>
      </c>
      <c r="N19" t="s">
        <v>458</v>
      </c>
      <c r="O19" t="s">
        <v>459</v>
      </c>
      <c r="P19" t="s">
        <v>480</v>
      </c>
      <c r="U19" s="84"/>
      <c r="V19" t="s">
        <v>481</v>
      </c>
      <c r="W19" s="84">
        <v>44529</v>
      </c>
      <c r="X19" s="84"/>
      <c r="Y19" t="s">
        <v>457</v>
      </c>
      <c r="AB19" s="84"/>
      <c r="AC19">
        <v>0</v>
      </c>
      <c r="AD19" s="83">
        <v>44529.335717593</v>
      </c>
      <c r="AE19" s="83">
        <v>44529.335717593</v>
      </c>
    </row>
    <row r="20" spans="1:32" x14ac:dyDescent="0.25">
      <c r="A20">
        <v>19</v>
      </c>
      <c r="B20" s="82" t="s">
        <v>539</v>
      </c>
      <c r="C20" t="s">
        <v>540</v>
      </c>
      <c r="D20" t="s">
        <v>462</v>
      </c>
      <c r="E20" t="s">
        <v>282</v>
      </c>
      <c r="F20" t="s">
        <v>284</v>
      </c>
      <c r="G20" t="s">
        <v>284</v>
      </c>
      <c r="H20">
        <v>1</v>
      </c>
      <c r="I20">
        <v>1</v>
      </c>
      <c r="J20" t="s">
        <v>541</v>
      </c>
      <c r="K20">
        <v>27</v>
      </c>
      <c r="L20" t="s">
        <v>306</v>
      </c>
      <c r="M20" t="s">
        <v>479</v>
      </c>
      <c r="N20" t="s">
        <v>458</v>
      </c>
      <c r="O20" t="s">
        <v>459</v>
      </c>
      <c r="P20" t="s">
        <v>480</v>
      </c>
      <c r="U20" s="84"/>
      <c r="V20" t="s">
        <v>481</v>
      </c>
      <c r="W20" s="84">
        <v>44529</v>
      </c>
      <c r="X20" s="84"/>
      <c r="Y20" t="s">
        <v>457</v>
      </c>
      <c r="AB20" s="84"/>
      <c r="AC20">
        <v>0</v>
      </c>
      <c r="AD20" s="83">
        <v>44529.426562499997</v>
      </c>
      <c r="AE20" s="83">
        <v>44529.426562499997</v>
      </c>
    </row>
    <row r="21" spans="1:32" x14ac:dyDescent="0.25">
      <c r="A21">
        <v>20</v>
      </c>
      <c r="B21" s="82" t="s">
        <v>542</v>
      </c>
      <c r="C21" t="s">
        <v>543</v>
      </c>
      <c r="D21" t="s">
        <v>462</v>
      </c>
      <c r="E21" t="s">
        <v>282</v>
      </c>
      <c r="F21" t="s">
        <v>284</v>
      </c>
      <c r="G21" t="s">
        <v>482</v>
      </c>
      <c r="H21">
        <v>4</v>
      </c>
      <c r="I21">
        <v>3</v>
      </c>
      <c r="J21" t="s">
        <v>482</v>
      </c>
      <c r="K21">
        <v>22</v>
      </c>
      <c r="L21" t="s">
        <v>304</v>
      </c>
      <c r="M21" t="s">
        <v>479</v>
      </c>
      <c r="N21" t="s">
        <v>458</v>
      </c>
      <c r="O21" t="s">
        <v>459</v>
      </c>
      <c r="P21" t="s">
        <v>480</v>
      </c>
      <c r="U21" s="84"/>
      <c r="V21" t="s">
        <v>481</v>
      </c>
      <c r="W21" s="84">
        <v>44529</v>
      </c>
      <c r="X21" s="84"/>
      <c r="Y21" t="s">
        <v>457</v>
      </c>
      <c r="AB21" s="84"/>
      <c r="AC21">
        <v>0</v>
      </c>
      <c r="AD21" s="83">
        <v>44529.427141204003</v>
      </c>
      <c r="AE21" s="83">
        <v>44529.427141204003</v>
      </c>
    </row>
    <row r="22" spans="1:32" x14ac:dyDescent="0.25">
      <c r="A22">
        <v>21</v>
      </c>
      <c r="B22" s="82" t="s">
        <v>544</v>
      </c>
      <c r="C22" t="s">
        <v>545</v>
      </c>
      <c r="D22" t="s">
        <v>462</v>
      </c>
      <c r="E22" t="s">
        <v>282</v>
      </c>
      <c r="F22" t="s">
        <v>281</v>
      </c>
      <c r="G22" t="s">
        <v>546</v>
      </c>
      <c r="H22">
        <v>4</v>
      </c>
      <c r="I22">
        <v>11</v>
      </c>
      <c r="J22" t="s">
        <v>547</v>
      </c>
      <c r="K22">
        <v>38</v>
      </c>
      <c r="L22" t="s">
        <v>304</v>
      </c>
      <c r="M22" t="s">
        <v>548</v>
      </c>
      <c r="N22" t="s">
        <v>478</v>
      </c>
      <c r="O22" t="s">
        <v>459</v>
      </c>
      <c r="P22" t="s">
        <v>480</v>
      </c>
      <c r="U22" s="84"/>
      <c r="V22" t="s">
        <v>549</v>
      </c>
      <c r="W22" s="84">
        <v>44531</v>
      </c>
      <c r="X22" s="84"/>
      <c r="Y22" t="s">
        <v>457</v>
      </c>
      <c r="AB22" s="84"/>
      <c r="AC22">
        <v>0</v>
      </c>
      <c r="AD22" s="83">
        <v>44531.634085648002</v>
      </c>
      <c r="AE22" s="83">
        <v>44531.634085648002</v>
      </c>
    </row>
    <row r="24" spans="1:32" x14ac:dyDescent="0.25">
      <c r="B24" s="82"/>
      <c r="U24" s="84"/>
      <c r="W24" s="84"/>
      <c r="X24" s="84"/>
      <c r="AB24" s="84"/>
      <c r="AD24" s="83"/>
      <c r="AE24" s="83"/>
      <c r="AF24" s="83"/>
    </row>
    <row r="25" spans="1:32" x14ac:dyDescent="0.25">
      <c r="B25" s="82"/>
      <c r="U25" s="84"/>
      <c r="W25" s="84"/>
      <c r="X25" s="84"/>
      <c r="AB25" s="84"/>
      <c r="AD25" s="83"/>
      <c r="AE25" s="83"/>
      <c r="AF25" s="83"/>
    </row>
    <row r="26" spans="1:32" x14ac:dyDescent="0.25">
      <c r="B26" s="82"/>
      <c r="U26" s="84"/>
      <c r="W26" s="84"/>
      <c r="X26" s="84"/>
      <c r="AB26" s="84"/>
      <c r="AD26" s="83"/>
      <c r="AE26" s="83"/>
      <c r="AF26" s="83"/>
    </row>
    <row r="27" spans="1:32" x14ac:dyDescent="0.25">
      <c r="B27" s="82"/>
      <c r="U27" s="84"/>
      <c r="W27" s="84"/>
      <c r="X27" s="84"/>
      <c r="AB27" s="84"/>
      <c r="AD27" s="83"/>
      <c r="AE27" s="83"/>
      <c r="AF27" s="83"/>
    </row>
    <row r="28" spans="1:32" x14ac:dyDescent="0.25">
      <c r="B28" s="82"/>
      <c r="U28" s="84"/>
      <c r="W28" s="84"/>
      <c r="X28" s="84"/>
      <c r="AB28" s="84"/>
      <c r="AD28" s="83"/>
      <c r="AE28" s="83"/>
      <c r="AF28" s="83"/>
    </row>
    <row r="29" spans="1:32" x14ac:dyDescent="0.25">
      <c r="B29" s="82"/>
      <c r="U29" s="84"/>
      <c r="W29" s="84"/>
      <c r="X29" s="84"/>
      <c r="AB29" s="84"/>
      <c r="AD29" s="83"/>
      <c r="AE29" s="83"/>
      <c r="AF29" s="83"/>
    </row>
    <row r="30" spans="1:32" x14ac:dyDescent="0.25">
      <c r="B30" s="82"/>
      <c r="U30" s="84"/>
      <c r="W30" s="84"/>
      <c r="X30" s="84"/>
      <c r="AB30" s="84"/>
      <c r="AD30" s="83"/>
      <c r="AE30" s="83"/>
      <c r="AF30" s="83"/>
    </row>
    <row r="31" spans="1:32" x14ac:dyDescent="0.25">
      <c r="B31" s="82"/>
      <c r="U31" s="84"/>
      <c r="W31" s="84"/>
      <c r="X31" s="84"/>
      <c r="AB31" s="84"/>
      <c r="AD31" s="83"/>
      <c r="AE31" s="83"/>
      <c r="AF31" s="83"/>
    </row>
    <row r="32" spans="1:32" x14ac:dyDescent="0.25">
      <c r="B32" s="82"/>
      <c r="U32" s="84"/>
      <c r="W32" s="84"/>
      <c r="X32" s="84"/>
      <c r="AB32" s="84"/>
      <c r="AD32" s="83"/>
      <c r="AE32" s="83"/>
      <c r="AF32" s="83"/>
    </row>
    <row r="33" spans="2:32" x14ac:dyDescent="0.25">
      <c r="B33" s="82"/>
      <c r="U33" s="84"/>
      <c r="W33" s="84"/>
      <c r="X33" s="84"/>
      <c r="AB33" s="84"/>
      <c r="AD33" s="83"/>
      <c r="AE33" s="83"/>
      <c r="AF33" s="83"/>
    </row>
    <row r="34" spans="2:32" x14ac:dyDescent="0.25">
      <c r="B34" s="82"/>
      <c r="U34" s="84"/>
      <c r="W34" s="84"/>
      <c r="X34" s="84"/>
      <c r="AB34" s="84"/>
      <c r="AD34" s="83"/>
      <c r="AE34" s="83"/>
      <c r="AF34" s="83"/>
    </row>
    <row r="35" spans="2:32" x14ac:dyDescent="0.25">
      <c r="B35" s="82"/>
      <c r="U35" s="84"/>
      <c r="W35" s="84"/>
      <c r="X35" s="84"/>
      <c r="AB35" s="84"/>
      <c r="AD35" s="83"/>
      <c r="AE35" s="83"/>
      <c r="AF35" s="83"/>
    </row>
    <row r="36" spans="2:32" x14ac:dyDescent="0.25">
      <c r="B36" s="82"/>
      <c r="U36" s="84"/>
      <c r="W36" s="84"/>
      <c r="X36" s="84"/>
      <c r="AB36" s="84"/>
      <c r="AD36" s="83"/>
      <c r="AE36" s="83"/>
      <c r="AF36" s="83"/>
    </row>
    <row r="37" spans="2:32" x14ac:dyDescent="0.25">
      <c r="B37" s="82"/>
      <c r="U37" s="84"/>
      <c r="W37" s="84"/>
      <c r="X37" s="84"/>
      <c r="AB37" s="84"/>
      <c r="AD37" s="83"/>
      <c r="AE37" s="83"/>
      <c r="AF37" s="83"/>
    </row>
    <row r="38" spans="2:32" x14ac:dyDescent="0.25">
      <c r="B38" s="82"/>
      <c r="U38" s="84"/>
      <c r="W38" s="84"/>
      <c r="X38" s="84"/>
      <c r="AB38" s="84"/>
      <c r="AD38" s="83"/>
      <c r="AE38" s="83"/>
      <c r="AF38" s="83"/>
    </row>
    <row r="39" spans="2:32" x14ac:dyDescent="0.25">
      <c r="B39" s="82"/>
      <c r="U39" s="84"/>
      <c r="W39" s="84"/>
      <c r="X39" s="84"/>
      <c r="AB39" s="84"/>
      <c r="AD39" s="83"/>
      <c r="AE39" s="83"/>
      <c r="AF39" s="83"/>
    </row>
    <row r="40" spans="2:32" x14ac:dyDescent="0.25">
      <c r="B40" s="82"/>
      <c r="U40" s="84"/>
      <c r="W40" s="84"/>
      <c r="X40" s="84"/>
      <c r="AB40" s="84"/>
      <c r="AD40" s="83"/>
      <c r="AE40" s="83"/>
      <c r="AF40" s="83"/>
    </row>
    <row r="41" spans="2:32" x14ac:dyDescent="0.25">
      <c r="B41" s="82"/>
      <c r="U41" s="84"/>
      <c r="W41" s="84"/>
      <c r="X41" s="84"/>
      <c r="AB41" s="84"/>
      <c r="AD41" s="83"/>
      <c r="AE41" s="83"/>
      <c r="AF41" s="83"/>
    </row>
    <row r="42" spans="2:32" x14ac:dyDescent="0.25">
      <c r="B42" s="82"/>
      <c r="U42" s="84"/>
      <c r="W42" s="84"/>
      <c r="X42" s="84"/>
      <c r="AB42" s="84"/>
      <c r="AD42" s="83"/>
      <c r="AE42" s="83"/>
      <c r="AF42" s="83"/>
    </row>
    <row r="43" spans="2:32" x14ac:dyDescent="0.25">
      <c r="B43" s="82"/>
      <c r="U43" s="84"/>
      <c r="W43" s="84"/>
      <c r="X43" s="84"/>
      <c r="AB43" s="84"/>
      <c r="AD43" s="83"/>
      <c r="AE43" s="83"/>
      <c r="AF43" s="83"/>
    </row>
    <row r="44" spans="2:32" x14ac:dyDescent="0.25">
      <c r="B44" s="82"/>
      <c r="U44" s="84"/>
      <c r="W44" s="84"/>
      <c r="X44" s="84"/>
      <c r="AB44" s="84"/>
      <c r="AD44" s="83"/>
      <c r="AE44" s="83"/>
      <c r="AF44" s="83"/>
    </row>
  </sheetData>
  <conditionalFormatting sqref="T1">
    <cfRule type="cellIs" dxfId="63" priority="162" operator="lessThan">
      <formula>14</formula>
    </cfRule>
    <cfRule type="cellIs" dxfId="62" priority="163" operator="greaterThan">
      <formula>14</formula>
    </cfRule>
  </conditionalFormatting>
  <conditionalFormatting sqref="B1">
    <cfRule type="duplicateValues" dxfId="61" priority="161"/>
  </conditionalFormatting>
  <conditionalFormatting sqref="B1">
    <cfRule type="duplicateValues" dxfId="60" priority="160"/>
  </conditionalFormatting>
  <conditionalFormatting sqref="B1:B1048576">
    <cfRule type="duplicateValues" dxfId="59" priority="2311"/>
  </conditionalFormatting>
  <conditionalFormatting sqref="B1:C1048576">
    <cfRule type="duplicateValues" dxfId="58" priority="2314"/>
  </conditionalFormatting>
  <conditionalFormatting sqref="B2:B1048576">
    <cfRule type="duplicateValues" dxfId="57" priority="2317"/>
  </conditionalFormatting>
  <conditionalFormatting sqref="B2:B1048576">
    <cfRule type="duplicateValues" dxfId="56" priority="2319"/>
    <cfRule type="duplicateValues" dxfId="55" priority="2320"/>
  </conditionalFormatting>
  <pageMargins left="0.7" right="0.7" top="0.75" bottom="0.75" header="0.3" footer="0.3"/>
  <pageSetup paperSize="9"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48"/>
  <sheetViews>
    <sheetView workbookViewId="0">
      <selection activeCell="A2" sqref="A2:XFD2"/>
    </sheetView>
  </sheetViews>
  <sheetFormatPr defaultColWidth="19.5703125" defaultRowHeight="15" x14ac:dyDescent="0.25"/>
  <cols>
    <col min="1" max="1" width="6.140625" style="69" customWidth="1"/>
    <col min="3" max="3" width="27.28515625" customWidth="1"/>
    <col min="18" max="19" width="19.5703125" style="68"/>
    <col min="20" max="20" width="19.5703125" style="69"/>
    <col min="22" max="22" width="28.5703125" customWidth="1"/>
    <col min="26" max="26" width="19.5703125" style="69"/>
  </cols>
  <sheetData>
    <row r="1" spans="1:32" x14ac:dyDescent="0.25">
      <c r="A1" s="69" t="s">
        <v>1</v>
      </c>
      <c r="B1" s="82" t="s">
        <v>442</v>
      </c>
      <c r="C1" t="s">
        <v>431</v>
      </c>
      <c r="D1" t="s">
        <v>463</v>
      </c>
      <c r="E1" t="s">
        <v>432</v>
      </c>
      <c r="F1" t="s">
        <v>2</v>
      </c>
      <c r="G1" t="s">
        <v>433</v>
      </c>
      <c r="H1" t="s">
        <v>465</v>
      </c>
      <c r="I1" t="s">
        <v>466</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454</v>
      </c>
      <c r="AA1" s="83" t="s">
        <v>455</v>
      </c>
      <c r="AB1" s="83" t="s">
        <v>456</v>
      </c>
      <c r="AF1" s="83"/>
    </row>
    <row r="2" spans="1:32" x14ac:dyDescent="0.25">
      <c r="A2"/>
      <c r="B2" s="82"/>
      <c r="R2"/>
      <c r="S2"/>
      <c r="T2"/>
      <c r="U2" s="84"/>
      <c r="W2" s="84"/>
      <c r="X2" s="84"/>
      <c r="Z2"/>
      <c r="AB2" s="84"/>
      <c r="AD2" s="83"/>
      <c r="AE2" s="83"/>
      <c r="AF2" s="26"/>
    </row>
    <row r="3" spans="1:32" x14ac:dyDescent="0.25">
      <c r="A3"/>
      <c r="B3" s="82"/>
      <c r="R3"/>
      <c r="S3"/>
      <c r="T3"/>
      <c r="U3" s="84"/>
      <c r="W3" s="84"/>
      <c r="X3" s="84"/>
      <c r="Z3"/>
      <c r="AB3" s="84"/>
      <c r="AD3" s="83"/>
      <c r="AE3" s="83"/>
      <c r="AF3" s="26"/>
    </row>
    <row r="4" spans="1:32" x14ac:dyDescent="0.25">
      <c r="A4"/>
      <c r="B4" s="82"/>
      <c r="R4"/>
      <c r="S4"/>
      <c r="T4"/>
      <c r="U4" s="84"/>
      <c r="W4" s="84"/>
      <c r="X4" s="84"/>
      <c r="Z4"/>
      <c r="AB4" s="84"/>
      <c r="AD4" s="83"/>
      <c r="AE4" s="83"/>
      <c r="AF4" s="26"/>
    </row>
    <row r="5" spans="1:32" x14ac:dyDescent="0.25">
      <c r="A5"/>
      <c r="B5" s="82"/>
      <c r="R5"/>
      <c r="S5"/>
      <c r="T5"/>
      <c r="U5" s="84"/>
      <c r="W5" s="84"/>
      <c r="X5" s="84"/>
      <c r="Z5"/>
      <c r="AB5" s="84"/>
      <c r="AD5" s="83"/>
      <c r="AE5" s="83"/>
      <c r="AF5" s="26"/>
    </row>
    <row r="6" spans="1:32" x14ac:dyDescent="0.25">
      <c r="A6"/>
      <c r="B6" s="82"/>
      <c r="R6"/>
      <c r="S6"/>
      <c r="T6"/>
      <c r="U6" s="84"/>
      <c r="W6" s="84"/>
      <c r="X6" s="84"/>
      <c r="Z6"/>
      <c r="AB6" s="84"/>
      <c r="AD6" s="83"/>
      <c r="AE6" s="83"/>
      <c r="AF6" s="26"/>
    </row>
    <row r="7" spans="1:32" x14ac:dyDescent="0.25">
      <c r="A7"/>
      <c r="B7" s="82"/>
      <c r="R7"/>
      <c r="S7"/>
      <c r="T7"/>
      <c r="U7" s="84"/>
      <c r="W7" s="84"/>
      <c r="X7" s="84"/>
      <c r="Z7"/>
      <c r="AB7" s="84"/>
      <c r="AD7" s="83"/>
      <c r="AE7" s="83"/>
      <c r="AF7" s="26"/>
    </row>
    <row r="8" spans="1:32" x14ac:dyDescent="0.25">
      <c r="A8"/>
      <c r="B8" s="82"/>
      <c r="R8"/>
      <c r="S8"/>
      <c r="T8"/>
      <c r="U8" s="84"/>
      <c r="W8" s="84"/>
      <c r="X8" s="84"/>
      <c r="Z8"/>
      <c r="AB8" s="84"/>
      <c r="AD8" s="83"/>
      <c r="AE8" s="83"/>
      <c r="AF8" s="26"/>
    </row>
    <row r="9" spans="1:32" x14ac:dyDescent="0.25">
      <c r="A9"/>
      <c r="B9" s="82"/>
      <c r="R9"/>
      <c r="S9"/>
      <c r="T9"/>
      <c r="U9" s="84"/>
      <c r="W9" s="84"/>
      <c r="X9" s="84"/>
      <c r="Z9"/>
      <c r="AB9" s="84"/>
      <c r="AD9" s="83"/>
      <c r="AE9" s="83"/>
      <c r="AF9" s="26"/>
    </row>
    <row r="10" spans="1:32" x14ac:dyDescent="0.25">
      <c r="A10"/>
      <c r="B10" s="82"/>
      <c r="R10"/>
      <c r="S10"/>
      <c r="T10"/>
      <c r="U10" s="84"/>
      <c r="W10" s="84"/>
      <c r="X10" s="84"/>
      <c r="Z10"/>
      <c r="AB10" s="84"/>
      <c r="AD10" s="83"/>
      <c r="AE10" s="83"/>
      <c r="AF10" s="26"/>
    </row>
    <row r="11" spans="1:32" x14ac:dyDescent="0.25">
      <c r="A11"/>
      <c r="B11" s="82"/>
      <c r="R11"/>
      <c r="S11"/>
      <c r="T11"/>
      <c r="U11" s="84"/>
      <c r="W11" s="84"/>
      <c r="X11" s="84"/>
      <c r="Z11"/>
      <c r="AB11" s="84"/>
      <c r="AD11" s="83"/>
      <c r="AE11" s="83"/>
      <c r="AF11" s="26"/>
    </row>
    <row r="12" spans="1:32" x14ac:dyDescent="0.25">
      <c r="A12"/>
      <c r="B12" s="82"/>
      <c r="R12"/>
      <c r="S12"/>
      <c r="T12"/>
      <c r="U12" s="84"/>
      <c r="W12" s="84"/>
      <c r="X12" s="84"/>
      <c r="Z12"/>
      <c r="AB12" s="84"/>
      <c r="AD12" s="83"/>
      <c r="AE12" s="83"/>
      <c r="AF12" s="26"/>
    </row>
    <row r="13" spans="1:32" x14ac:dyDescent="0.25">
      <c r="A13"/>
      <c r="B13" s="82"/>
      <c r="R13"/>
      <c r="S13"/>
      <c r="T13"/>
      <c r="U13" s="84"/>
      <c r="W13" s="84"/>
      <c r="X13" s="84"/>
      <c r="Z13"/>
      <c r="AB13" s="84"/>
      <c r="AD13" s="83"/>
      <c r="AE13" s="83"/>
      <c r="AF13" s="26"/>
    </row>
    <row r="14" spans="1:32" x14ac:dyDescent="0.25">
      <c r="A14"/>
      <c r="B14" s="82"/>
      <c r="R14"/>
      <c r="S14"/>
      <c r="T14"/>
      <c r="U14" s="84"/>
      <c r="W14" s="84"/>
      <c r="X14" s="84"/>
      <c r="Z14"/>
      <c r="AB14" s="84"/>
      <c r="AD14" s="83"/>
      <c r="AE14" s="83"/>
      <c r="AF14" s="26"/>
    </row>
    <row r="15" spans="1:32" x14ac:dyDescent="0.25">
      <c r="A15"/>
      <c r="B15" s="82"/>
      <c r="R15"/>
      <c r="S15"/>
      <c r="T15"/>
      <c r="U15" s="84"/>
      <c r="W15" s="84"/>
      <c r="X15" s="84"/>
      <c r="Z15"/>
      <c r="AB15" s="84"/>
      <c r="AD15" s="83"/>
      <c r="AE15" s="83"/>
      <c r="AF15" s="26"/>
    </row>
    <row r="16" spans="1:32" x14ac:dyDescent="0.25">
      <c r="A16"/>
      <c r="B16" s="82"/>
      <c r="R16"/>
      <c r="S16"/>
      <c r="T16"/>
      <c r="U16" s="84"/>
      <c r="W16" s="84"/>
      <c r="X16" s="84"/>
      <c r="Z16"/>
      <c r="AB16" s="84"/>
      <c r="AD16" s="83"/>
      <c r="AE16" s="83"/>
      <c r="AF16" s="26"/>
    </row>
    <row r="17" spans="1:32" x14ac:dyDescent="0.25">
      <c r="A17"/>
      <c r="B17" s="82"/>
      <c r="R17"/>
      <c r="S17"/>
      <c r="T17"/>
      <c r="U17" s="84"/>
      <c r="W17" s="84"/>
      <c r="X17" s="84"/>
      <c r="Z17"/>
      <c r="AB17" s="84"/>
      <c r="AD17" s="83"/>
      <c r="AE17" s="83"/>
      <c r="AF17" s="26"/>
    </row>
    <row r="18" spans="1:32" x14ac:dyDescent="0.25">
      <c r="A18"/>
      <c r="B18" s="82"/>
      <c r="R18"/>
      <c r="S18"/>
      <c r="T18"/>
      <c r="U18" s="84"/>
      <c r="W18" s="84"/>
      <c r="X18" s="84"/>
      <c r="Z18"/>
      <c r="AB18" s="84"/>
      <c r="AD18" s="83"/>
      <c r="AE18" s="83"/>
      <c r="AF18" s="26"/>
    </row>
    <row r="19" spans="1:32" x14ac:dyDescent="0.25">
      <c r="A19"/>
      <c r="B19" s="82"/>
      <c r="R19"/>
      <c r="S19"/>
      <c r="T19"/>
      <c r="U19" s="84"/>
      <c r="W19" s="84"/>
      <c r="X19" s="84"/>
      <c r="Z19"/>
      <c r="AB19" s="84"/>
      <c r="AD19" s="83"/>
      <c r="AE19" s="83"/>
      <c r="AF19" s="26"/>
    </row>
    <row r="20" spans="1:32" x14ac:dyDescent="0.25">
      <c r="A20"/>
      <c r="B20" s="82"/>
      <c r="R20"/>
      <c r="S20"/>
      <c r="T20"/>
      <c r="U20" s="84"/>
      <c r="W20" s="84"/>
      <c r="X20" s="84"/>
      <c r="Z20"/>
      <c r="AB20" s="84"/>
      <c r="AD20" s="83"/>
      <c r="AE20" s="83"/>
      <c r="AF20" s="26"/>
    </row>
    <row r="21" spans="1:32" x14ac:dyDescent="0.25">
      <c r="A21"/>
      <c r="B21" s="82"/>
      <c r="R21"/>
      <c r="S21"/>
      <c r="T21"/>
      <c r="U21" s="84"/>
      <c r="W21" s="84"/>
      <c r="X21" s="84"/>
      <c r="Z21"/>
      <c r="AB21" s="84"/>
      <c r="AD21" s="83"/>
      <c r="AE21" s="83"/>
      <c r="AF21" s="26"/>
    </row>
    <row r="22" spans="1:32" x14ac:dyDescent="0.25">
      <c r="A22"/>
      <c r="B22" s="82"/>
      <c r="R22"/>
      <c r="S22"/>
      <c r="T22"/>
      <c r="U22" s="84"/>
      <c r="W22" s="84"/>
      <c r="X22" s="84"/>
      <c r="Z22"/>
      <c r="AB22" s="84"/>
      <c r="AD22" s="83"/>
      <c r="AE22" s="83"/>
      <c r="AF22" s="26"/>
    </row>
    <row r="23" spans="1:32" x14ac:dyDescent="0.25">
      <c r="A23"/>
      <c r="B23" s="82"/>
      <c r="R23"/>
      <c r="S23"/>
      <c r="T23"/>
      <c r="U23" s="84"/>
      <c r="W23" s="84"/>
      <c r="X23" s="84"/>
      <c r="Z23"/>
      <c r="AB23" s="84"/>
      <c r="AD23" s="83"/>
      <c r="AE23" s="83"/>
      <c r="AF23" s="26"/>
    </row>
    <row r="24" spans="1:32" x14ac:dyDescent="0.25">
      <c r="A24"/>
      <c r="B24" s="82"/>
      <c r="R24"/>
      <c r="S24"/>
      <c r="T24"/>
      <c r="U24" s="84"/>
      <c r="W24" s="84"/>
      <c r="X24" s="84"/>
      <c r="Z24"/>
      <c r="AB24" s="84"/>
      <c r="AD24" s="83"/>
      <c r="AE24" s="83"/>
      <c r="AF24" s="26"/>
    </row>
    <row r="25" spans="1:32" x14ac:dyDescent="0.25">
      <c r="A25"/>
      <c r="B25" s="82"/>
      <c r="R25"/>
      <c r="S25"/>
      <c r="T25"/>
      <c r="U25" s="84"/>
      <c r="W25" s="84"/>
      <c r="X25" s="84"/>
      <c r="Z25"/>
      <c r="AB25" s="84"/>
      <c r="AD25" s="83"/>
      <c r="AE25" s="83"/>
      <c r="AF25" s="26"/>
    </row>
    <row r="26" spans="1:32" x14ac:dyDescent="0.25">
      <c r="A26"/>
      <c r="B26" s="82"/>
      <c r="R26"/>
      <c r="S26"/>
      <c r="T26"/>
      <c r="U26" s="84"/>
      <c r="W26" s="84"/>
      <c r="X26" s="84"/>
      <c r="Z26"/>
      <c r="AB26" s="84"/>
      <c r="AD26" s="83"/>
      <c r="AE26" s="83"/>
      <c r="AF26" s="26"/>
    </row>
    <row r="27" spans="1:32" x14ac:dyDescent="0.25">
      <c r="A27"/>
      <c r="B27" s="82"/>
      <c r="R27"/>
      <c r="S27"/>
      <c r="T27"/>
      <c r="U27" s="84"/>
      <c r="W27" s="84"/>
      <c r="X27" s="84"/>
      <c r="Z27"/>
      <c r="AB27" s="84"/>
      <c r="AD27" s="83"/>
      <c r="AE27" s="83"/>
      <c r="AF27" s="26"/>
    </row>
    <row r="28" spans="1:32" x14ac:dyDescent="0.25">
      <c r="A28"/>
      <c r="B28" s="82"/>
      <c r="R28"/>
      <c r="S28"/>
      <c r="T28"/>
      <c r="U28" s="84"/>
      <c r="W28" s="84"/>
      <c r="X28" s="84"/>
      <c r="Z28"/>
      <c r="AB28" s="84"/>
      <c r="AD28" s="83"/>
      <c r="AE28" s="83"/>
      <c r="AF28" s="26"/>
    </row>
    <row r="29" spans="1:32" x14ac:dyDescent="0.25">
      <c r="A29"/>
      <c r="B29" s="82"/>
      <c r="R29"/>
      <c r="S29"/>
      <c r="T29"/>
      <c r="U29" s="84"/>
      <c r="W29" s="84"/>
      <c r="X29" s="84"/>
      <c r="Z29"/>
      <c r="AB29" s="84"/>
      <c r="AD29" s="83"/>
      <c r="AE29" s="83"/>
      <c r="AF29" s="26"/>
    </row>
    <row r="30" spans="1:32" x14ac:dyDescent="0.25">
      <c r="A30"/>
      <c r="B30" s="82"/>
      <c r="R30"/>
      <c r="S30"/>
      <c r="T30"/>
      <c r="U30" s="84"/>
      <c r="W30" s="84"/>
      <c r="X30" s="84"/>
      <c r="Z30"/>
      <c r="AB30" s="84"/>
      <c r="AD30" s="83"/>
      <c r="AE30" s="83"/>
      <c r="AF30" s="26"/>
    </row>
    <row r="31" spans="1:32" x14ac:dyDescent="0.25">
      <c r="A31"/>
      <c r="B31" s="82"/>
      <c r="R31"/>
      <c r="S31"/>
      <c r="T31"/>
      <c r="U31" s="84"/>
      <c r="W31" s="84"/>
      <c r="X31" s="84"/>
      <c r="Z31"/>
      <c r="AB31" s="84"/>
      <c r="AD31" s="83"/>
      <c r="AE31" s="83"/>
      <c r="AF31" s="83"/>
    </row>
    <row r="32" spans="1:32" x14ac:dyDescent="0.25">
      <c r="A32"/>
      <c r="B32" s="82"/>
      <c r="R32"/>
      <c r="S32"/>
      <c r="T32"/>
      <c r="U32" s="84"/>
      <c r="W32" s="84"/>
      <c r="X32" s="84"/>
      <c r="Z32"/>
      <c r="AB32" s="84"/>
      <c r="AD32" s="83"/>
      <c r="AE32" s="83"/>
      <c r="AF32" s="83"/>
    </row>
    <row r="33" spans="1:32" x14ac:dyDescent="0.25">
      <c r="A33"/>
      <c r="B33" s="82"/>
      <c r="R33"/>
      <c r="S33"/>
      <c r="T33"/>
      <c r="U33" s="84"/>
      <c r="W33" s="84"/>
      <c r="X33" s="84"/>
      <c r="Z33"/>
      <c r="AB33" s="84"/>
      <c r="AD33" s="83"/>
      <c r="AE33" s="83"/>
      <c r="AF33" s="83"/>
    </row>
    <row r="34" spans="1:32" x14ac:dyDescent="0.25">
      <c r="A34"/>
      <c r="B34" s="82"/>
      <c r="R34"/>
      <c r="S34"/>
      <c r="T34"/>
      <c r="U34" s="84"/>
      <c r="W34" s="84"/>
      <c r="X34" s="84"/>
      <c r="Z34"/>
      <c r="AB34" s="84"/>
      <c r="AD34" s="83"/>
      <c r="AE34" s="83"/>
      <c r="AF34" s="83"/>
    </row>
    <row r="35" spans="1:32" x14ac:dyDescent="0.25">
      <c r="A35"/>
      <c r="B35" s="82"/>
      <c r="R35"/>
      <c r="S35"/>
      <c r="T35"/>
      <c r="U35" s="84"/>
      <c r="W35" s="84"/>
      <c r="X35" s="84"/>
      <c r="Z35"/>
      <c r="AB35" s="84"/>
      <c r="AD35" s="83"/>
      <c r="AE35" s="83"/>
      <c r="AF35" s="83"/>
    </row>
    <row r="36" spans="1:32" x14ac:dyDescent="0.25">
      <c r="A36"/>
      <c r="B36" s="82"/>
      <c r="R36"/>
      <c r="S36"/>
      <c r="T36"/>
      <c r="U36" s="84"/>
      <c r="W36" s="84"/>
      <c r="X36" s="84"/>
      <c r="Z36"/>
      <c r="AB36" s="84"/>
      <c r="AD36" s="83"/>
      <c r="AE36" s="83"/>
      <c r="AF36" s="83"/>
    </row>
    <row r="37" spans="1:32" x14ac:dyDescent="0.25">
      <c r="A37"/>
      <c r="B37" s="82"/>
      <c r="R37"/>
      <c r="S37"/>
      <c r="T37"/>
      <c r="U37" s="84"/>
      <c r="W37" s="84"/>
      <c r="X37" s="84"/>
      <c r="Z37"/>
      <c r="AB37" s="84"/>
      <c r="AD37" s="83"/>
      <c r="AE37" s="83"/>
      <c r="AF37" s="83"/>
    </row>
    <row r="38" spans="1:32" x14ac:dyDescent="0.25">
      <c r="A38"/>
      <c r="B38" s="82"/>
      <c r="R38"/>
      <c r="S38"/>
      <c r="T38"/>
      <c r="U38" s="84"/>
      <c r="W38" s="84"/>
      <c r="X38" s="84"/>
      <c r="Z38"/>
      <c r="AB38" s="84"/>
      <c r="AD38" s="83"/>
      <c r="AE38" s="83"/>
      <c r="AF38" s="83"/>
    </row>
    <row r="39" spans="1:32" x14ac:dyDescent="0.25">
      <c r="A39"/>
      <c r="B39" s="82"/>
      <c r="R39"/>
      <c r="S39"/>
      <c r="T39"/>
      <c r="U39" s="84"/>
      <c r="W39" s="84"/>
      <c r="X39" s="84"/>
      <c r="Z39"/>
      <c r="AB39" s="84"/>
      <c r="AD39" s="83"/>
      <c r="AE39" s="83"/>
      <c r="AF39" s="83"/>
    </row>
    <row r="40" spans="1:32" x14ac:dyDescent="0.25">
      <c r="A40"/>
      <c r="B40" s="82"/>
      <c r="R40"/>
      <c r="S40"/>
      <c r="T40"/>
      <c r="U40" s="84"/>
      <c r="W40" s="84"/>
      <c r="X40" s="84"/>
      <c r="Z40"/>
      <c r="AB40" s="84"/>
      <c r="AD40" s="83"/>
      <c r="AE40" s="83"/>
      <c r="AF40" s="83"/>
    </row>
    <row r="41" spans="1:32" x14ac:dyDescent="0.25">
      <c r="A41"/>
      <c r="B41" s="82"/>
      <c r="R41"/>
      <c r="S41"/>
      <c r="T41"/>
      <c r="U41" s="84"/>
      <c r="W41" s="84"/>
      <c r="X41" s="84"/>
      <c r="Z41"/>
      <c r="AB41" s="84"/>
      <c r="AD41" s="83"/>
      <c r="AE41" s="83"/>
      <c r="AF41" s="83"/>
    </row>
    <row r="42" spans="1:32" x14ac:dyDescent="0.25">
      <c r="A42"/>
      <c r="B42" s="82"/>
      <c r="R42"/>
      <c r="S42"/>
      <c r="T42"/>
      <c r="U42" s="84"/>
      <c r="W42" s="84"/>
      <c r="X42" s="84"/>
      <c r="Z42"/>
      <c r="AB42" s="84"/>
      <c r="AD42" s="83"/>
      <c r="AE42" s="83"/>
      <c r="AF42" s="83"/>
    </row>
    <row r="43" spans="1:32" x14ac:dyDescent="0.25">
      <c r="A43"/>
      <c r="B43" s="82"/>
      <c r="R43"/>
      <c r="S43"/>
      <c r="T43"/>
      <c r="U43" s="84"/>
      <c r="W43" s="84"/>
      <c r="X43" s="84"/>
      <c r="Z43"/>
      <c r="AB43" s="84"/>
      <c r="AD43" s="83"/>
      <c r="AE43" s="83"/>
      <c r="AF43" s="83"/>
    </row>
    <row r="44" spans="1:32" x14ac:dyDescent="0.25">
      <c r="A44"/>
      <c r="B44" s="82"/>
      <c r="R44"/>
      <c r="S44"/>
      <c r="T44"/>
      <c r="U44" s="84"/>
      <c r="W44" s="84"/>
      <c r="X44" s="84"/>
      <c r="Z44"/>
      <c r="AB44" s="84"/>
      <c r="AD44" s="83"/>
      <c r="AE44" s="83"/>
      <c r="AF44" s="83"/>
    </row>
    <row r="45" spans="1:32" x14ac:dyDescent="0.25">
      <c r="A45"/>
      <c r="B45" s="82"/>
      <c r="R45"/>
      <c r="S45"/>
      <c r="T45"/>
      <c r="U45" s="84"/>
      <c r="W45" s="84"/>
      <c r="X45" s="84"/>
      <c r="Z45"/>
      <c r="AB45" s="84"/>
      <c r="AD45" s="83"/>
      <c r="AE45" s="83"/>
      <c r="AF45" s="83"/>
    </row>
    <row r="46" spans="1:32" x14ac:dyDescent="0.25">
      <c r="A46"/>
      <c r="B46" s="82"/>
      <c r="R46"/>
      <c r="S46"/>
      <c r="T46"/>
      <c r="U46" s="84"/>
      <c r="W46" s="84"/>
      <c r="X46" s="84"/>
      <c r="Z46"/>
      <c r="AB46" s="84"/>
      <c r="AD46" s="83"/>
      <c r="AE46" s="83"/>
      <c r="AF46" s="83"/>
    </row>
    <row r="47" spans="1:32" x14ac:dyDescent="0.25">
      <c r="A47"/>
      <c r="B47" s="82"/>
      <c r="R47"/>
      <c r="S47"/>
      <c r="T47"/>
      <c r="U47" s="84"/>
      <c r="W47" s="84"/>
      <c r="X47" s="84"/>
      <c r="Z47"/>
      <c r="AB47" s="84"/>
      <c r="AD47" s="83"/>
      <c r="AE47" s="83"/>
      <c r="AF47" s="83"/>
    </row>
    <row r="48" spans="1:32" x14ac:dyDescent="0.25">
      <c r="A48"/>
      <c r="B48" s="82"/>
      <c r="R48"/>
      <c r="S48"/>
      <c r="T48"/>
      <c r="U48" s="84"/>
      <c r="W48" s="84"/>
      <c r="X48" s="84"/>
      <c r="Z48"/>
      <c r="AB48" s="84"/>
      <c r="AD48" s="83"/>
      <c r="AE48" s="83"/>
      <c r="AF48" s="83"/>
    </row>
    <row r="49" spans="1:32" x14ac:dyDescent="0.25">
      <c r="A49"/>
      <c r="B49" s="82"/>
      <c r="R49"/>
      <c r="S49"/>
      <c r="T49"/>
      <c r="U49" s="84"/>
      <c r="W49" s="84"/>
      <c r="X49" s="84"/>
      <c r="Z49"/>
      <c r="AB49" s="84"/>
      <c r="AD49" s="83"/>
      <c r="AE49" s="83"/>
      <c r="AF49" s="83"/>
    </row>
    <row r="50" spans="1:32" x14ac:dyDescent="0.25">
      <c r="A50"/>
      <c r="B50" s="82"/>
      <c r="R50"/>
      <c r="S50"/>
      <c r="T50"/>
      <c r="U50" s="84"/>
      <c r="W50" s="84"/>
      <c r="X50" s="84"/>
      <c r="Z50"/>
      <c r="AB50" s="84"/>
      <c r="AD50" s="83"/>
      <c r="AE50" s="83"/>
      <c r="AF50" s="83"/>
    </row>
    <row r="51" spans="1:32" x14ac:dyDescent="0.25">
      <c r="A51"/>
      <c r="B51" s="82"/>
      <c r="R51"/>
      <c r="S51"/>
      <c r="T51"/>
      <c r="U51" s="84"/>
      <c r="W51" s="84"/>
      <c r="X51" s="84"/>
      <c r="Z51"/>
      <c r="AB51" s="84"/>
      <c r="AD51" s="83"/>
      <c r="AE51" s="83"/>
      <c r="AF51" s="83"/>
    </row>
    <row r="52" spans="1:32" x14ac:dyDescent="0.25">
      <c r="A52"/>
      <c r="B52" s="82"/>
      <c r="R52"/>
      <c r="S52"/>
      <c r="T52"/>
      <c r="U52" s="84"/>
      <c r="W52" s="84"/>
      <c r="X52" s="84"/>
      <c r="Z52"/>
      <c r="AB52" s="84"/>
      <c r="AD52" s="83"/>
      <c r="AE52" s="83"/>
      <c r="AF52" s="83"/>
    </row>
    <row r="53" spans="1:32" x14ac:dyDescent="0.25">
      <c r="A53"/>
      <c r="B53" s="82"/>
      <c r="R53"/>
      <c r="S53"/>
      <c r="T53"/>
      <c r="U53" s="84"/>
      <c r="W53" s="84"/>
      <c r="X53" s="84"/>
      <c r="Z53"/>
      <c r="AB53" s="84"/>
      <c r="AD53" s="83"/>
      <c r="AE53" s="83"/>
      <c r="AF53" s="83"/>
    </row>
    <row r="54" spans="1:32" x14ac:dyDescent="0.25">
      <c r="A54"/>
      <c r="B54" s="82"/>
      <c r="R54"/>
      <c r="S54"/>
      <c r="T54"/>
      <c r="U54" s="84"/>
      <c r="W54" s="84"/>
      <c r="X54" s="84"/>
      <c r="Z54"/>
      <c r="AB54" s="84"/>
      <c r="AD54" s="83"/>
      <c r="AE54" s="83"/>
      <c r="AF54" s="83"/>
    </row>
    <row r="55" spans="1:32" x14ac:dyDescent="0.25">
      <c r="A55"/>
      <c r="B55" s="82"/>
      <c r="R55"/>
      <c r="S55"/>
      <c r="T55"/>
      <c r="U55" s="84"/>
      <c r="W55" s="84"/>
      <c r="X55" s="84"/>
      <c r="Z55"/>
      <c r="AB55" s="84"/>
      <c r="AD55" s="83"/>
      <c r="AE55" s="83"/>
      <c r="AF55" s="83"/>
    </row>
    <row r="56" spans="1:32" x14ac:dyDescent="0.25">
      <c r="A56"/>
      <c r="B56" s="82"/>
      <c r="R56"/>
      <c r="S56"/>
      <c r="T56"/>
      <c r="U56" s="84"/>
      <c r="W56" s="84"/>
      <c r="X56" s="84"/>
      <c r="Z56"/>
      <c r="AB56" s="84"/>
      <c r="AD56" s="83"/>
      <c r="AE56" s="83"/>
      <c r="AF56" s="83"/>
    </row>
    <row r="57" spans="1:32" x14ac:dyDescent="0.25">
      <c r="A57"/>
      <c r="B57" s="82"/>
      <c r="R57"/>
      <c r="S57"/>
      <c r="T57"/>
      <c r="U57" s="84"/>
      <c r="W57" s="84"/>
      <c r="X57" s="84"/>
      <c r="Z57"/>
      <c r="AB57" s="84"/>
      <c r="AD57" s="83"/>
      <c r="AE57" s="83"/>
      <c r="AF57" s="83"/>
    </row>
    <row r="58" spans="1:32" x14ac:dyDescent="0.25">
      <c r="A58"/>
      <c r="B58" s="82"/>
      <c r="R58"/>
      <c r="S58"/>
      <c r="T58"/>
      <c r="U58" s="84"/>
      <c r="W58" s="84"/>
      <c r="X58" s="84"/>
      <c r="Z58"/>
      <c r="AB58" s="84"/>
      <c r="AD58" s="83"/>
      <c r="AE58" s="83"/>
      <c r="AF58" s="83"/>
    </row>
    <row r="59" spans="1:32" x14ac:dyDescent="0.25">
      <c r="A59"/>
      <c r="B59" s="82"/>
      <c r="R59"/>
      <c r="S59"/>
      <c r="T59"/>
      <c r="U59" s="84"/>
      <c r="W59" s="84"/>
      <c r="X59" s="84"/>
      <c r="Z59"/>
      <c r="AB59" s="84"/>
      <c r="AD59" s="83"/>
      <c r="AE59" s="83"/>
      <c r="AF59" s="83"/>
    </row>
    <row r="60" spans="1:32" x14ac:dyDescent="0.25">
      <c r="A60"/>
      <c r="B60" s="82"/>
      <c r="R60"/>
      <c r="S60"/>
      <c r="T60"/>
      <c r="U60" s="84"/>
      <c r="W60" s="84"/>
      <c r="X60" s="84"/>
      <c r="Z60"/>
      <c r="AB60" s="84"/>
      <c r="AD60" s="83"/>
      <c r="AE60" s="83"/>
      <c r="AF60" s="83"/>
    </row>
    <row r="61" spans="1:32" x14ac:dyDescent="0.25">
      <c r="A61"/>
      <c r="B61" s="82"/>
      <c r="R61"/>
      <c r="S61"/>
      <c r="T61"/>
      <c r="U61" s="84"/>
      <c r="W61" s="84"/>
      <c r="X61" s="84"/>
      <c r="Z61"/>
      <c r="AB61" s="84"/>
      <c r="AD61" s="83"/>
      <c r="AE61" s="83"/>
      <c r="AF61" s="83"/>
    </row>
    <row r="62" spans="1:32" x14ac:dyDescent="0.25">
      <c r="A62"/>
      <c r="B62" s="82"/>
      <c r="R62"/>
      <c r="S62"/>
      <c r="T62"/>
      <c r="U62" s="84"/>
      <c r="W62" s="84"/>
      <c r="X62" s="84"/>
      <c r="Z62"/>
      <c r="AB62" s="84"/>
      <c r="AD62" s="83"/>
      <c r="AE62" s="83"/>
      <c r="AF62" s="83"/>
    </row>
    <row r="63" spans="1:32" x14ac:dyDescent="0.25">
      <c r="A63"/>
      <c r="B63" s="82"/>
      <c r="R63"/>
      <c r="S63"/>
      <c r="T63"/>
      <c r="U63" s="84"/>
      <c r="W63" s="84"/>
      <c r="X63" s="84"/>
      <c r="Z63"/>
      <c r="AB63" s="84"/>
      <c r="AD63" s="83"/>
      <c r="AE63" s="83"/>
      <c r="AF63" s="83"/>
    </row>
    <row r="64" spans="1:32" x14ac:dyDescent="0.25">
      <c r="A64"/>
      <c r="B64" s="82"/>
      <c r="R64"/>
      <c r="S64"/>
      <c r="T64"/>
      <c r="U64" s="84"/>
      <c r="W64" s="84"/>
      <c r="X64" s="84"/>
      <c r="Z64"/>
      <c r="AB64" s="84"/>
      <c r="AD64" s="83"/>
      <c r="AE64" s="83"/>
      <c r="AF64" s="83"/>
    </row>
    <row r="65" spans="1:32" x14ac:dyDescent="0.25">
      <c r="A65"/>
      <c r="B65" s="82"/>
      <c r="R65"/>
      <c r="S65"/>
      <c r="T65"/>
      <c r="U65" s="84"/>
      <c r="W65" s="84"/>
      <c r="X65" s="84"/>
      <c r="Z65"/>
      <c r="AB65" s="84"/>
      <c r="AD65" s="83"/>
      <c r="AE65" s="83"/>
      <c r="AF65" s="83"/>
    </row>
    <row r="66" spans="1:32" x14ac:dyDescent="0.25">
      <c r="A66"/>
      <c r="B66" s="82"/>
      <c r="R66"/>
      <c r="S66"/>
      <c r="T66"/>
      <c r="U66" s="84"/>
      <c r="W66" s="84"/>
      <c r="X66" s="84"/>
      <c r="Z66"/>
      <c r="AB66" s="84"/>
      <c r="AD66" s="83"/>
      <c r="AE66" s="83"/>
      <c r="AF66" s="83"/>
    </row>
    <row r="67" spans="1:32" x14ac:dyDescent="0.25">
      <c r="A67"/>
      <c r="B67" s="82"/>
      <c r="R67"/>
      <c r="S67"/>
      <c r="T67"/>
      <c r="U67" s="84"/>
      <c r="W67" s="84"/>
      <c r="X67" s="84"/>
      <c r="Z67"/>
      <c r="AB67" s="84"/>
      <c r="AD67" s="83"/>
      <c r="AE67" s="83"/>
      <c r="AF67" s="83"/>
    </row>
    <row r="68" spans="1:32" x14ac:dyDescent="0.25">
      <c r="A68"/>
      <c r="B68" s="82"/>
      <c r="R68"/>
      <c r="S68"/>
      <c r="T68"/>
      <c r="U68" s="84"/>
      <c r="W68" s="84"/>
      <c r="X68" s="84"/>
      <c r="Z68"/>
      <c r="AB68" s="84"/>
      <c r="AD68" s="83"/>
      <c r="AE68" s="83"/>
      <c r="AF68" s="83"/>
    </row>
    <row r="69" spans="1:32" x14ac:dyDescent="0.25">
      <c r="A69"/>
      <c r="B69" s="82"/>
      <c r="R69"/>
      <c r="S69"/>
      <c r="T69"/>
      <c r="U69" s="84"/>
      <c r="W69" s="84"/>
      <c r="X69" s="84"/>
      <c r="Z69"/>
      <c r="AB69" s="84"/>
      <c r="AD69" s="83"/>
      <c r="AE69" s="83"/>
      <c r="AF69" s="26"/>
    </row>
    <row r="70" spans="1:32" x14ac:dyDescent="0.25">
      <c r="A70"/>
      <c r="B70" s="82"/>
      <c r="R70"/>
      <c r="S70"/>
      <c r="T70"/>
      <c r="U70" s="84"/>
      <c r="W70" s="84"/>
      <c r="X70" s="84"/>
      <c r="Z70"/>
      <c r="AB70" s="84"/>
      <c r="AD70" s="83"/>
      <c r="AE70" s="83"/>
      <c r="AF70" s="26"/>
    </row>
    <row r="71" spans="1:32" x14ac:dyDescent="0.25">
      <c r="A71"/>
      <c r="B71" s="82"/>
      <c r="R71"/>
      <c r="S71"/>
      <c r="T71"/>
      <c r="U71" s="84"/>
      <c r="W71" s="84"/>
      <c r="X71" s="84"/>
      <c r="Z71"/>
      <c r="AB71" s="84"/>
      <c r="AD71" s="83"/>
      <c r="AE71" s="83"/>
      <c r="AF71" s="26"/>
    </row>
    <row r="72" spans="1:32" x14ac:dyDescent="0.25">
      <c r="A72"/>
      <c r="B72" s="82"/>
      <c r="R72"/>
      <c r="S72"/>
      <c r="T72"/>
      <c r="U72" s="84"/>
      <c r="W72" s="84"/>
      <c r="X72" s="84"/>
      <c r="Z72"/>
      <c r="AB72" s="84"/>
      <c r="AD72" s="83"/>
      <c r="AE72" s="83"/>
      <c r="AF72" s="26"/>
    </row>
    <row r="73" spans="1:32" x14ac:dyDescent="0.25">
      <c r="A73"/>
      <c r="B73" s="82"/>
      <c r="R73"/>
      <c r="S73"/>
      <c r="T73"/>
      <c r="U73" s="84"/>
      <c r="W73" s="84"/>
      <c r="X73" s="84"/>
      <c r="Z73"/>
      <c r="AB73" s="84"/>
      <c r="AD73" s="83"/>
      <c r="AE73" s="83"/>
      <c r="AF73" s="26"/>
    </row>
    <row r="74" spans="1:32" x14ac:dyDescent="0.25">
      <c r="A74"/>
      <c r="B74" s="82"/>
      <c r="R74"/>
      <c r="S74"/>
      <c r="T74"/>
      <c r="U74" s="84"/>
      <c r="W74" s="84"/>
      <c r="X74" s="84"/>
      <c r="Z74"/>
      <c r="AB74" s="84"/>
      <c r="AD74" s="83"/>
      <c r="AE74" s="83"/>
      <c r="AF74" s="26"/>
    </row>
    <row r="75" spans="1:32" x14ac:dyDescent="0.25">
      <c r="A75"/>
      <c r="B75" s="82"/>
      <c r="R75"/>
      <c r="S75"/>
      <c r="T75"/>
      <c r="U75" s="84"/>
      <c r="W75" s="84"/>
      <c r="X75" s="84"/>
      <c r="Z75"/>
      <c r="AB75" s="84"/>
      <c r="AD75" s="83"/>
      <c r="AE75" s="83"/>
      <c r="AF75" s="26"/>
    </row>
    <row r="76" spans="1:32" x14ac:dyDescent="0.25">
      <c r="A76"/>
      <c r="B76" s="82"/>
      <c r="R76"/>
      <c r="S76"/>
      <c r="T76"/>
      <c r="U76" s="84"/>
      <c r="W76" s="84"/>
      <c r="X76" s="84"/>
      <c r="Z76"/>
      <c r="AB76" s="84"/>
      <c r="AD76" s="83"/>
      <c r="AE76" s="83"/>
      <c r="AF76" s="26"/>
    </row>
    <row r="77" spans="1:32" x14ac:dyDescent="0.25">
      <c r="A77"/>
      <c r="B77" s="82"/>
      <c r="R77"/>
      <c r="S77"/>
      <c r="T77"/>
      <c r="U77" s="84"/>
      <c r="W77" s="84"/>
      <c r="X77" s="84"/>
      <c r="Z77"/>
      <c r="AB77" s="84"/>
      <c r="AD77" s="83"/>
      <c r="AE77" s="83"/>
      <c r="AF77" s="26"/>
    </row>
    <row r="78" spans="1:32" x14ac:dyDescent="0.25">
      <c r="A78"/>
      <c r="B78" s="82"/>
      <c r="R78"/>
      <c r="S78"/>
      <c r="T78"/>
      <c r="U78" s="84"/>
      <c r="W78" s="84"/>
      <c r="X78" s="84"/>
      <c r="Z78"/>
      <c r="AB78" s="84"/>
      <c r="AD78" s="83"/>
      <c r="AE78" s="83"/>
      <c r="AF78" s="26"/>
    </row>
    <row r="79" spans="1:32" x14ac:dyDescent="0.25">
      <c r="A79"/>
      <c r="B79" s="82"/>
      <c r="R79"/>
      <c r="S79"/>
      <c r="T79"/>
      <c r="U79" s="84"/>
      <c r="W79" s="84"/>
      <c r="X79" s="84"/>
      <c r="Z79"/>
      <c r="AB79" s="84"/>
      <c r="AD79" s="83"/>
      <c r="AE79" s="83"/>
      <c r="AF79" s="26"/>
    </row>
    <row r="80" spans="1:32" x14ac:dyDescent="0.25">
      <c r="A80"/>
      <c r="B80" s="82"/>
      <c r="R80"/>
      <c r="S80"/>
      <c r="T80"/>
      <c r="U80" s="84"/>
      <c r="W80" s="84"/>
      <c r="X80" s="84"/>
      <c r="Z80"/>
      <c r="AB80" s="84"/>
      <c r="AD80" s="83"/>
      <c r="AE80" s="83"/>
      <c r="AF80" s="26"/>
    </row>
    <row r="81" spans="1:32" x14ac:dyDescent="0.25">
      <c r="A81"/>
      <c r="B81" s="82"/>
      <c r="R81"/>
      <c r="S81"/>
      <c r="T81"/>
      <c r="U81" s="84"/>
      <c r="W81" s="84"/>
      <c r="X81" s="84"/>
      <c r="Z81"/>
      <c r="AB81" s="84"/>
      <c r="AD81" s="83"/>
      <c r="AE81" s="83"/>
      <c r="AF81" s="26"/>
    </row>
    <row r="82" spans="1:32" x14ac:dyDescent="0.25">
      <c r="A82"/>
      <c r="B82" s="82"/>
      <c r="R82"/>
      <c r="S82"/>
      <c r="T82"/>
      <c r="U82" s="84"/>
      <c r="W82" s="84"/>
      <c r="X82" s="84"/>
      <c r="Z82"/>
      <c r="AB82" s="84"/>
      <c r="AD82" s="83"/>
      <c r="AE82" s="83"/>
      <c r="AF82" s="26"/>
    </row>
    <row r="83" spans="1:32" x14ac:dyDescent="0.25">
      <c r="A83"/>
      <c r="B83" s="82"/>
      <c r="R83"/>
      <c r="S83"/>
      <c r="T83"/>
      <c r="U83" s="84"/>
      <c r="W83" s="84"/>
      <c r="X83" s="84"/>
      <c r="Z83"/>
      <c r="AB83" s="84"/>
      <c r="AD83" s="83"/>
      <c r="AE83" s="83"/>
      <c r="AF83" s="26"/>
    </row>
    <row r="84" spans="1:32" x14ac:dyDescent="0.25">
      <c r="A84"/>
      <c r="B84" s="82"/>
      <c r="R84"/>
      <c r="S84"/>
      <c r="T84"/>
      <c r="U84" s="84"/>
      <c r="W84" s="84"/>
      <c r="X84" s="84"/>
      <c r="Z84"/>
      <c r="AB84" s="84"/>
      <c r="AD84" s="83"/>
      <c r="AE84" s="83"/>
      <c r="AF84" s="26"/>
    </row>
    <row r="85" spans="1:32" x14ac:dyDescent="0.25">
      <c r="A85"/>
      <c r="B85" s="82"/>
      <c r="R85"/>
      <c r="S85"/>
      <c r="T85"/>
      <c r="U85" s="84"/>
      <c r="W85" s="84"/>
      <c r="X85" s="84"/>
      <c r="Z85"/>
      <c r="AB85" s="84"/>
      <c r="AD85" s="83"/>
      <c r="AE85" s="83"/>
      <c r="AF85" s="26"/>
    </row>
    <row r="86" spans="1:32" x14ac:dyDescent="0.25">
      <c r="A86"/>
      <c r="B86" s="82"/>
      <c r="R86"/>
      <c r="S86"/>
      <c r="T86"/>
      <c r="U86" s="84"/>
      <c r="W86" s="84"/>
      <c r="X86" s="84"/>
      <c r="Z86"/>
      <c r="AB86" s="84"/>
      <c r="AD86" s="83"/>
      <c r="AE86" s="83"/>
      <c r="AF86" s="26"/>
    </row>
    <row r="87" spans="1:32" x14ac:dyDescent="0.25">
      <c r="A87"/>
      <c r="B87" s="82"/>
      <c r="R87"/>
      <c r="S87"/>
      <c r="T87"/>
      <c r="U87" s="84"/>
      <c r="W87" s="84"/>
      <c r="X87" s="84"/>
      <c r="Z87"/>
      <c r="AB87" s="84"/>
      <c r="AD87" s="83"/>
      <c r="AE87" s="83"/>
      <c r="AF87" s="26"/>
    </row>
    <row r="88" spans="1:32" x14ac:dyDescent="0.25">
      <c r="A88"/>
      <c r="B88" s="82"/>
      <c r="R88"/>
      <c r="S88"/>
      <c r="T88"/>
      <c r="U88" s="84"/>
      <c r="W88" s="84"/>
      <c r="X88" s="84"/>
      <c r="Z88"/>
      <c r="AB88" s="84"/>
      <c r="AD88" s="83"/>
      <c r="AE88" s="83"/>
      <c r="AF88" s="26"/>
    </row>
    <row r="89" spans="1:32" x14ac:dyDescent="0.25">
      <c r="A89"/>
      <c r="B89" s="82"/>
      <c r="R89"/>
      <c r="S89"/>
      <c r="T89"/>
      <c r="U89" s="84"/>
      <c r="W89" s="84"/>
      <c r="X89" s="84"/>
      <c r="Z89"/>
      <c r="AB89" s="84"/>
      <c r="AD89" s="83"/>
      <c r="AE89" s="83"/>
      <c r="AF89" s="26"/>
    </row>
    <row r="90" spans="1:32" x14ac:dyDescent="0.25">
      <c r="A90"/>
      <c r="B90" s="82"/>
      <c r="R90"/>
      <c r="S90"/>
      <c r="T90"/>
      <c r="U90" s="84"/>
      <c r="W90" s="84"/>
      <c r="X90" s="84"/>
      <c r="Z90"/>
      <c r="AB90" s="84"/>
      <c r="AD90" s="83"/>
      <c r="AE90" s="83"/>
      <c r="AF90" s="26"/>
    </row>
    <row r="91" spans="1:32" x14ac:dyDescent="0.25">
      <c r="A91"/>
      <c r="B91" s="82"/>
      <c r="R91"/>
      <c r="S91"/>
      <c r="T91"/>
      <c r="U91" s="84"/>
      <c r="W91" s="84"/>
      <c r="X91" s="84"/>
      <c r="Z91"/>
      <c r="AB91" s="84"/>
      <c r="AD91" s="83"/>
      <c r="AE91" s="83"/>
      <c r="AF91" s="26"/>
    </row>
    <row r="92" spans="1:32" x14ac:dyDescent="0.25">
      <c r="A92"/>
      <c r="B92" s="82"/>
      <c r="R92"/>
      <c r="S92"/>
      <c r="T92"/>
      <c r="U92" s="84"/>
      <c r="W92" s="84"/>
      <c r="X92" s="84"/>
      <c r="Z92"/>
      <c r="AB92" s="84"/>
      <c r="AD92" s="83"/>
      <c r="AE92" s="83"/>
      <c r="AF92" s="26"/>
    </row>
    <row r="93" spans="1:32" x14ac:dyDescent="0.25">
      <c r="A93"/>
      <c r="B93" s="82"/>
      <c r="R93"/>
      <c r="S93"/>
      <c r="T93"/>
      <c r="U93" s="84"/>
      <c r="W93" s="84"/>
      <c r="X93" s="84"/>
      <c r="Z93"/>
      <c r="AB93" s="84"/>
      <c r="AD93" s="83"/>
      <c r="AE93" s="83"/>
      <c r="AF93" s="26"/>
    </row>
    <row r="94" spans="1:32" x14ac:dyDescent="0.25">
      <c r="A94"/>
      <c r="B94" s="82"/>
      <c r="R94"/>
      <c r="S94"/>
      <c r="T94"/>
      <c r="U94" s="84"/>
      <c r="W94" s="84"/>
      <c r="X94" s="84"/>
      <c r="Z94"/>
      <c r="AB94" s="84"/>
      <c r="AD94" s="83"/>
      <c r="AE94" s="83"/>
      <c r="AF94" s="26"/>
    </row>
    <row r="95" spans="1:32" x14ac:dyDescent="0.25">
      <c r="A95"/>
      <c r="B95" s="82"/>
      <c r="R95"/>
      <c r="S95"/>
      <c r="T95"/>
      <c r="U95" s="84"/>
      <c r="W95" s="84"/>
      <c r="X95" s="84"/>
      <c r="Z95"/>
      <c r="AB95" s="84"/>
      <c r="AD95" s="83"/>
      <c r="AE95" s="83"/>
      <c r="AF95" s="26"/>
    </row>
    <row r="96" spans="1:32" x14ac:dyDescent="0.25">
      <c r="A96"/>
      <c r="B96" s="82"/>
      <c r="R96"/>
      <c r="S96"/>
      <c r="T96"/>
      <c r="U96" s="84"/>
      <c r="W96" s="84"/>
      <c r="X96" s="84"/>
      <c r="Z96"/>
      <c r="AB96" s="84"/>
      <c r="AD96" s="83"/>
      <c r="AE96" s="83"/>
      <c r="AF96" s="26"/>
    </row>
    <row r="97" spans="1:32" x14ac:dyDescent="0.25">
      <c r="A97"/>
      <c r="B97" s="82"/>
      <c r="R97"/>
      <c r="S97"/>
      <c r="T97"/>
      <c r="U97" s="84"/>
      <c r="W97" s="84"/>
      <c r="X97" s="84"/>
      <c r="Z97"/>
      <c r="AB97" s="84"/>
      <c r="AD97" s="83"/>
      <c r="AE97" s="83"/>
      <c r="AF97" s="26"/>
    </row>
    <row r="98" spans="1:32" x14ac:dyDescent="0.25">
      <c r="A98"/>
      <c r="B98" s="82"/>
      <c r="R98"/>
      <c r="S98"/>
      <c r="T98"/>
      <c r="U98" s="84"/>
      <c r="W98" s="84"/>
      <c r="X98" s="84"/>
      <c r="Z98"/>
      <c r="AB98" s="84"/>
      <c r="AD98" s="83"/>
      <c r="AE98" s="83"/>
      <c r="AF98" s="26"/>
    </row>
    <row r="99" spans="1:32" x14ac:dyDescent="0.25">
      <c r="A99"/>
      <c r="B99" s="82"/>
      <c r="R99"/>
      <c r="S99"/>
      <c r="T99"/>
      <c r="U99" s="84"/>
      <c r="W99" s="84"/>
      <c r="X99" s="84"/>
      <c r="Z99"/>
      <c r="AB99" s="84"/>
      <c r="AD99" s="83"/>
      <c r="AE99" s="83"/>
      <c r="AF99" s="26"/>
    </row>
    <row r="100" spans="1:32" x14ac:dyDescent="0.25">
      <c r="A100"/>
      <c r="B100" s="82"/>
      <c r="R100"/>
      <c r="S100"/>
      <c r="T100"/>
      <c r="U100" s="84"/>
      <c r="W100" s="84"/>
      <c r="X100" s="84"/>
      <c r="Z100"/>
      <c r="AB100" s="84"/>
      <c r="AD100" s="83"/>
      <c r="AE100" s="83"/>
      <c r="AF100" s="26"/>
    </row>
    <row r="101" spans="1:32" x14ac:dyDescent="0.25">
      <c r="A101"/>
      <c r="B101" s="82"/>
      <c r="R101"/>
      <c r="S101"/>
      <c r="T101"/>
      <c r="U101" s="84"/>
      <c r="W101" s="84"/>
      <c r="X101" s="84"/>
      <c r="Z101"/>
      <c r="AB101" s="84"/>
      <c r="AD101" s="83"/>
      <c r="AE101" s="83"/>
      <c r="AF101" s="26"/>
    </row>
    <row r="102" spans="1:32" x14ac:dyDescent="0.25">
      <c r="A102"/>
      <c r="B102" s="82"/>
      <c r="R102"/>
      <c r="S102"/>
      <c r="T102"/>
      <c r="U102" s="84"/>
      <c r="W102" s="84"/>
      <c r="X102" s="84"/>
      <c r="Z102"/>
      <c r="AB102" s="84"/>
      <c r="AD102" s="83"/>
      <c r="AE102" s="83"/>
      <c r="AF102" s="26"/>
    </row>
    <row r="103" spans="1:32" x14ac:dyDescent="0.25">
      <c r="A103"/>
      <c r="B103" s="82"/>
      <c r="R103"/>
      <c r="S103"/>
      <c r="T103"/>
      <c r="U103" s="84"/>
      <c r="W103" s="84"/>
      <c r="X103" s="84"/>
      <c r="Z103"/>
      <c r="AB103" s="84"/>
      <c r="AD103" s="83"/>
      <c r="AE103" s="83"/>
      <c r="AF103" s="26"/>
    </row>
    <row r="104" spans="1:32" x14ac:dyDescent="0.25">
      <c r="A104"/>
      <c r="B104" s="82"/>
      <c r="R104"/>
      <c r="S104"/>
      <c r="T104"/>
      <c r="U104" s="84"/>
      <c r="W104" s="84"/>
      <c r="X104" s="84"/>
      <c r="Z104"/>
      <c r="AB104" s="84"/>
      <c r="AD104" s="83"/>
      <c r="AE104" s="83"/>
      <c r="AF104" s="26"/>
    </row>
    <row r="105" spans="1:32" x14ac:dyDescent="0.25">
      <c r="A105"/>
      <c r="B105" s="82"/>
      <c r="R105"/>
      <c r="S105"/>
      <c r="T105"/>
      <c r="U105" s="84"/>
      <c r="W105" s="84"/>
      <c r="X105" s="84"/>
      <c r="Z105"/>
      <c r="AB105" s="84"/>
      <c r="AD105" s="83"/>
      <c r="AE105" s="83"/>
      <c r="AF105" s="83"/>
    </row>
    <row r="106" spans="1:32" x14ac:dyDescent="0.25">
      <c r="A106"/>
      <c r="B106" s="82"/>
      <c r="R106"/>
      <c r="S106"/>
      <c r="T106"/>
      <c r="U106" s="84"/>
      <c r="W106" s="84"/>
      <c r="X106" s="84"/>
      <c r="Z106"/>
      <c r="AB106" s="84"/>
      <c r="AD106" s="83"/>
      <c r="AE106" s="83"/>
      <c r="AF106" s="83"/>
    </row>
    <row r="107" spans="1:32" x14ac:dyDescent="0.25">
      <c r="A107"/>
      <c r="B107" s="82"/>
      <c r="R107"/>
      <c r="S107"/>
      <c r="T107"/>
      <c r="U107" s="84"/>
      <c r="W107" s="84"/>
      <c r="X107" s="84"/>
      <c r="Z107"/>
      <c r="AB107" s="84"/>
      <c r="AD107" s="83"/>
      <c r="AE107" s="83"/>
      <c r="AF107" s="83"/>
    </row>
    <row r="108" spans="1:32" x14ac:dyDescent="0.25">
      <c r="A108"/>
      <c r="B108" s="82"/>
      <c r="R108"/>
      <c r="S108"/>
      <c r="T108"/>
      <c r="U108" s="84"/>
      <c r="W108" s="84"/>
      <c r="X108" s="84"/>
      <c r="Z108"/>
      <c r="AB108" s="84"/>
      <c r="AD108" s="83"/>
      <c r="AE108" s="83"/>
      <c r="AF108" s="83"/>
    </row>
    <row r="109" spans="1:32" x14ac:dyDescent="0.25">
      <c r="A109"/>
      <c r="B109" s="82"/>
      <c r="R109"/>
      <c r="S109"/>
      <c r="T109"/>
      <c r="U109" s="84"/>
      <c r="W109" s="84"/>
      <c r="X109" s="84"/>
      <c r="Z109"/>
      <c r="AB109" s="84"/>
      <c r="AD109" s="83"/>
      <c r="AE109" s="83"/>
      <c r="AF109" s="83"/>
    </row>
    <row r="110" spans="1:32" x14ac:dyDescent="0.25">
      <c r="A110"/>
      <c r="B110" s="82"/>
      <c r="R110"/>
      <c r="S110"/>
      <c r="T110"/>
      <c r="U110" s="84"/>
      <c r="W110" s="84"/>
      <c r="X110" s="84"/>
      <c r="Z110"/>
      <c r="AB110" s="84"/>
      <c r="AD110" s="83"/>
      <c r="AE110" s="83"/>
      <c r="AF110" s="83"/>
    </row>
    <row r="111" spans="1:32" x14ac:dyDescent="0.25">
      <c r="A111"/>
      <c r="B111" s="82"/>
      <c r="R111"/>
      <c r="S111"/>
      <c r="T111"/>
      <c r="U111" s="84"/>
      <c r="W111" s="84"/>
      <c r="X111" s="84"/>
      <c r="Z111"/>
      <c r="AB111" s="84"/>
      <c r="AD111" s="83"/>
      <c r="AE111" s="83"/>
      <c r="AF111" s="83"/>
    </row>
    <row r="112" spans="1:32" x14ac:dyDescent="0.25">
      <c r="A112"/>
      <c r="B112" s="82"/>
      <c r="R112"/>
      <c r="S112"/>
      <c r="T112"/>
      <c r="U112" s="84"/>
      <c r="W112" s="84"/>
      <c r="X112" s="84"/>
      <c r="Z112"/>
      <c r="AB112" s="84"/>
      <c r="AD112" s="83"/>
      <c r="AE112" s="83"/>
      <c r="AF112" s="83"/>
    </row>
    <row r="113" spans="1:32" x14ac:dyDescent="0.25">
      <c r="A113"/>
      <c r="B113" s="82"/>
      <c r="R113"/>
      <c r="S113"/>
      <c r="T113"/>
      <c r="U113" s="84"/>
      <c r="W113" s="84"/>
      <c r="X113" s="84"/>
      <c r="Z113"/>
      <c r="AB113" s="84"/>
      <c r="AD113" s="83"/>
      <c r="AE113" s="83"/>
      <c r="AF113" s="83"/>
    </row>
    <row r="114" spans="1:32" x14ac:dyDescent="0.25">
      <c r="A114"/>
      <c r="B114" s="82"/>
      <c r="R114"/>
      <c r="S114"/>
      <c r="T114"/>
      <c r="U114" s="84"/>
      <c r="W114" s="84"/>
      <c r="X114" s="84"/>
      <c r="Z114"/>
      <c r="AB114" s="84"/>
      <c r="AD114" s="83"/>
      <c r="AE114" s="83"/>
      <c r="AF114" s="83"/>
    </row>
    <row r="115" spans="1:32" x14ac:dyDescent="0.25">
      <c r="A115"/>
      <c r="B115" s="82"/>
      <c r="R115"/>
      <c r="S115"/>
      <c r="T115"/>
      <c r="U115" s="84"/>
      <c r="W115" s="84"/>
      <c r="X115" s="84"/>
      <c r="Z115"/>
      <c r="AB115" s="84"/>
      <c r="AD115" s="83"/>
      <c r="AE115" s="83"/>
      <c r="AF115" s="83"/>
    </row>
    <row r="116" spans="1:32" x14ac:dyDescent="0.25">
      <c r="A116"/>
      <c r="B116" s="82"/>
      <c r="R116"/>
      <c r="S116"/>
      <c r="T116"/>
      <c r="U116" s="84"/>
      <c r="W116" s="84"/>
      <c r="X116" s="84"/>
      <c r="Z116"/>
      <c r="AB116" s="84"/>
      <c r="AD116" s="83"/>
      <c r="AE116" s="83"/>
      <c r="AF116" s="83"/>
    </row>
    <row r="117" spans="1:32" x14ac:dyDescent="0.25">
      <c r="A117"/>
      <c r="B117" s="82"/>
      <c r="R117"/>
      <c r="S117"/>
      <c r="T117"/>
      <c r="U117" s="84"/>
      <c r="W117" s="84"/>
      <c r="X117" s="84"/>
      <c r="Z117"/>
      <c r="AB117" s="84"/>
      <c r="AD117" s="83"/>
      <c r="AE117" s="83"/>
      <c r="AF117" s="83"/>
    </row>
    <row r="118" spans="1:32" x14ac:dyDescent="0.25">
      <c r="A118"/>
      <c r="B118" s="82"/>
      <c r="R118"/>
      <c r="S118"/>
      <c r="T118"/>
      <c r="U118" s="84"/>
      <c r="W118" s="84"/>
      <c r="X118" s="84"/>
      <c r="Z118"/>
      <c r="AB118" s="84"/>
      <c r="AD118" s="83"/>
      <c r="AE118" s="83"/>
      <c r="AF118" s="83"/>
    </row>
    <row r="119" spans="1:32" x14ac:dyDescent="0.25">
      <c r="A119"/>
      <c r="B119" s="82"/>
      <c r="R119"/>
      <c r="S119"/>
      <c r="T119"/>
      <c r="U119" s="84"/>
      <c r="W119" s="84"/>
      <c r="X119" s="84"/>
      <c r="Z119"/>
      <c r="AB119" s="84"/>
      <c r="AD119" s="83"/>
      <c r="AE119" s="83"/>
      <c r="AF119" s="83"/>
    </row>
    <row r="120" spans="1:32" x14ac:dyDescent="0.25">
      <c r="A120"/>
      <c r="B120" s="82"/>
      <c r="R120"/>
      <c r="S120"/>
      <c r="T120"/>
      <c r="U120" s="84"/>
      <c r="W120" s="84"/>
      <c r="X120" s="84"/>
      <c r="Z120"/>
      <c r="AB120" s="84"/>
      <c r="AD120" s="83"/>
      <c r="AE120" s="83"/>
      <c r="AF120" s="83"/>
    </row>
    <row r="121" spans="1:32" x14ac:dyDescent="0.25">
      <c r="A121"/>
      <c r="B121" s="82"/>
      <c r="R121"/>
      <c r="S121"/>
      <c r="T121"/>
      <c r="U121" s="84"/>
      <c r="W121" s="84"/>
      <c r="X121" s="84"/>
      <c r="Z121"/>
      <c r="AB121" s="84"/>
      <c r="AD121" s="83"/>
      <c r="AE121" s="83"/>
      <c r="AF121" s="83"/>
    </row>
    <row r="122" spans="1:32" x14ac:dyDescent="0.25">
      <c r="A122"/>
      <c r="B122" s="82"/>
      <c r="R122"/>
      <c r="S122"/>
      <c r="T122"/>
      <c r="U122" s="84"/>
      <c r="W122" s="84"/>
      <c r="X122" s="84"/>
      <c r="Z122"/>
      <c r="AB122" s="84"/>
      <c r="AD122" s="83"/>
      <c r="AE122" s="83"/>
      <c r="AF122" s="83"/>
    </row>
    <row r="123" spans="1:32" x14ac:dyDescent="0.25">
      <c r="A123"/>
      <c r="B123" s="82"/>
      <c r="R123"/>
      <c r="S123"/>
      <c r="T123"/>
      <c r="U123" s="84"/>
      <c r="W123" s="84"/>
      <c r="X123" s="84"/>
      <c r="Z123"/>
      <c r="AB123" s="84"/>
      <c r="AD123" s="83"/>
      <c r="AE123" s="83"/>
      <c r="AF123" s="83"/>
    </row>
    <row r="124" spans="1:32" x14ac:dyDescent="0.25">
      <c r="A124"/>
      <c r="B124" s="82"/>
      <c r="R124"/>
      <c r="S124"/>
      <c r="T124"/>
      <c r="U124" s="84"/>
      <c r="W124" s="84"/>
      <c r="X124" s="84"/>
      <c r="Z124"/>
      <c r="AB124" s="84"/>
      <c r="AD124" s="83"/>
      <c r="AE124" s="83"/>
      <c r="AF124" s="83"/>
    </row>
    <row r="125" spans="1:32" x14ac:dyDescent="0.25">
      <c r="A125"/>
      <c r="B125" s="82"/>
      <c r="R125"/>
      <c r="S125"/>
      <c r="T125"/>
      <c r="U125" s="84"/>
      <c r="W125" s="84"/>
      <c r="X125" s="84"/>
      <c r="Z125"/>
      <c r="AB125" s="84"/>
      <c r="AD125" s="83"/>
      <c r="AE125" s="83"/>
      <c r="AF125" s="83"/>
    </row>
    <row r="126" spans="1:32" x14ac:dyDescent="0.25">
      <c r="A126"/>
      <c r="B126" s="82"/>
      <c r="R126"/>
      <c r="S126"/>
      <c r="T126"/>
      <c r="U126" s="84"/>
      <c r="W126" s="84"/>
      <c r="X126" s="84"/>
      <c r="Z126"/>
      <c r="AB126" s="84"/>
      <c r="AD126" s="83"/>
      <c r="AE126" s="83"/>
      <c r="AF126" s="83"/>
    </row>
    <row r="127" spans="1:32" x14ac:dyDescent="0.25">
      <c r="A127"/>
      <c r="B127" s="82"/>
      <c r="R127"/>
      <c r="S127"/>
      <c r="T127"/>
      <c r="U127" s="84"/>
      <c r="W127" s="84"/>
      <c r="X127" s="84"/>
      <c r="Z127"/>
      <c r="AB127" s="84"/>
      <c r="AD127" s="83"/>
      <c r="AE127" s="83"/>
      <c r="AF127" s="83"/>
    </row>
    <row r="128" spans="1:32" x14ac:dyDescent="0.25">
      <c r="A128"/>
      <c r="B128" s="82"/>
      <c r="R128"/>
      <c r="S128"/>
      <c r="T128"/>
      <c r="U128" s="84"/>
      <c r="W128" s="84"/>
      <c r="X128" s="84"/>
      <c r="Z128"/>
      <c r="AB128" s="84"/>
      <c r="AD128" s="83"/>
      <c r="AE128" s="83"/>
      <c r="AF128" s="83"/>
    </row>
    <row r="129" spans="1:32" x14ac:dyDescent="0.25">
      <c r="A129"/>
      <c r="B129" s="82"/>
      <c r="R129"/>
      <c r="S129"/>
      <c r="T129"/>
      <c r="U129" s="84"/>
      <c r="W129" s="84"/>
      <c r="X129" s="84"/>
      <c r="Z129"/>
      <c r="AB129" s="84"/>
      <c r="AD129" s="83"/>
      <c r="AE129" s="83"/>
      <c r="AF129" s="83"/>
    </row>
    <row r="130" spans="1:32" x14ac:dyDescent="0.25">
      <c r="A130"/>
      <c r="B130" s="82"/>
      <c r="R130"/>
      <c r="S130"/>
      <c r="T130"/>
      <c r="U130" s="84"/>
      <c r="W130" s="84"/>
      <c r="X130" s="84"/>
      <c r="Z130"/>
      <c r="AB130" s="84"/>
      <c r="AD130" s="83"/>
      <c r="AE130" s="83"/>
      <c r="AF130" s="26"/>
    </row>
    <row r="131" spans="1:32" x14ac:dyDescent="0.25">
      <c r="A131"/>
      <c r="B131" s="82"/>
      <c r="R131"/>
      <c r="S131"/>
      <c r="T131"/>
      <c r="U131" s="84"/>
      <c r="W131" s="84"/>
      <c r="X131" s="84"/>
      <c r="Z131"/>
      <c r="AB131" s="84"/>
      <c r="AD131" s="83"/>
      <c r="AE131" s="83"/>
      <c r="AF131" s="26"/>
    </row>
    <row r="132" spans="1:32" x14ac:dyDescent="0.25">
      <c r="A132"/>
      <c r="B132" s="82"/>
      <c r="R132"/>
      <c r="S132"/>
      <c r="T132"/>
      <c r="U132" s="84"/>
      <c r="W132" s="84"/>
      <c r="X132" s="84"/>
      <c r="Z132"/>
      <c r="AB132" s="84"/>
      <c r="AD132" s="83"/>
      <c r="AE132" s="83"/>
      <c r="AF132" s="26"/>
    </row>
    <row r="133" spans="1:32" x14ac:dyDescent="0.25">
      <c r="A133"/>
      <c r="B133" s="82"/>
      <c r="R133"/>
      <c r="S133"/>
      <c r="T133"/>
      <c r="U133" s="84"/>
      <c r="W133" s="84"/>
      <c r="X133" s="84"/>
      <c r="Z133"/>
      <c r="AB133" s="84"/>
      <c r="AD133" s="83"/>
      <c r="AE133" s="83"/>
      <c r="AF133" s="26"/>
    </row>
    <row r="134" spans="1:32" x14ac:dyDescent="0.25">
      <c r="A134"/>
      <c r="B134" s="82"/>
      <c r="R134"/>
      <c r="S134"/>
      <c r="T134"/>
      <c r="U134" s="84"/>
      <c r="W134" s="84"/>
      <c r="X134" s="84"/>
      <c r="Z134"/>
      <c r="AB134" s="84"/>
      <c r="AD134" s="83"/>
      <c r="AE134" s="83"/>
      <c r="AF134" s="26"/>
    </row>
    <row r="135" spans="1:32" x14ac:dyDescent="0.25">
      <c r="A135"/>
      <c r="B135" s="82"/>
      <c r="R135"/>
      <c r="S135"/>
      <c r="T135"/>
      <c r="U135" s="84"/>
      <c r="W135" s="84"/>
      <c r="X135" s="84"/>
      <c r="Z135"/>
      <c r="AB135" s="84"/>
      <c r="AD135" s="83"/>
      <c r="AE135" s="83"/>
      <c r="AF135" s="26"/>
    </row>
    <row r="136" spans="1:32" x14ac:dyDescent="0.25">
      <c r="A136"/>
      <c r="B136" s="82"/>
      <c r="R136"/>
      <c r="S136"/>
      <c r="T136"/>
      <c r="U136" s="84"/>
      <c r="W136" s="84"/>
      <c r="X136" s="84"/>
      <c r="Z136"/>
      <c r="AB136" s="84"/>
      <c r="AD136" s="83"/>
      <c r="AE136" s="83"/>
      <c r="AF136" s="26"/>
    </row>
    <row r="137" spans="1:32" x14ac:dyDescent="0.25">
      <c r="A137"/>
      <c r="B137" s="82"/>
      <c r="R137"/>
      <c r="S137"/>
      <c r="T137"/>
      <c r="U137" s="84"/>
      <c r="W137" s="84"/>
      <c r="X137" s="84"/>
      <c r="Z137"/>
      <c r="AB137" s="84"/>
      <c r="AD137" s="83"/>
      <c r="AE137" s="83"/>
      <c r="AF137" s="26"/>
    </row>
    <row r="138" spans="1:32" x14ac:dyDescent="0.25">
      <c r="A138"/>
      <c r="B138" s="82"/>
      <c r="R138"/>
      <c r="S138"/>
      <c r="T138"/>
      <c r="U138" s="84"/>
      <c r="W138" s="84"/>
      <c r="X138" s="84"/>
      <c r="Z138"/>
      <c r="AB138" s="84"/>
      <c r="AD138" s="83"/>
      <c r="AE138" s="83"/>
      <c r="AF138" s="26"/>
    </row>
    <row r="139" spans="1:32" x14ac:dyDescent="0.25">
      <c r="A139"/>
      <c r="B139" s="82"/>
      <c r="R139"/>
      <c r="S139"/>
      <c r="T139"/>
      <c r="U139" s="84"/>
      <c r="W139" s="84"/>
      <c r="X139" s="84"/>
      <c r="Z139"/>
      <c r="AB139" s="84"/>
      <c r="AD139" s="83"/>
      <c r="AE139" s="83"/>
      <c r="AF139" s="26"/>
    </row>
    <row r="140" spans="1:32" x14ac:dyDescent="0.25">
      <c r="A140"/>
      <c r="B140" s="82"/>
      <c r="R140"/>
      <c r="S140"/>
      <c r="T140"/>
      <c r="U140" s="84"/>
      <c r="W140" s="84"/>
      <c r="X140" s="84"/>
      <c r="Z140"/>
      <c r="AB140" s="84"/>
      <c r="AD140" s="83"/>
      <c r="AE140" s="83"/>
      <c r="AF140" s="26"/>
    </row>
    <row r="141" spans="1:32" x14ac:dyDescent="0.25">
      <c r="A141"/>
      <c r="B141" s="82"/>
      <c r="R141"/>
      <c r="S141"/>
      <c r="T141"/>
      <c r="U141" s="84"/>
      <c r="W141" s="84"/>
      <c r="X141" s="84"/>
      <c r="Z141"/>
      <c r="AB141" s="84"/>
      <c r="AD141" s="83"/>
      <c r="AE141" s="83"/>
      <c r="AF141" s="26"/>
    </row>
    <row r="142" spans="1:32" x14ac:dyDescent="0.25">
      <c r="A142"/>
      <c r="B142" s="82"/>
      <c r="R142"/>
      <c r="S142"/>
      <c r="T142"/>
      <c r="U142" s="84"/>
      <c r="W142" s="84"/>
      <c r="X142" s="84"/>
      <c r="Z142"/>
      <c r="AB142" s="84"/>
      <c r="AD142" s="83"/>
      <c r="AE142" s="83"/>
      <c r="AF142" s="26"/>
    </row>
    <row r="143" spans="1:32" x14ac:dyDescent="0.25">
      <c r="A143"/>
      <c r="B143" s="82"/>
      <c r="R143"/>
      <c r="S143"/>
      <c r="T143"/>
      <c r="U143" s="84"/>
      <c r="W143" s="84"/>
      <c r="X143" s="84"/>
      <c r="Z143"/>
      <c r="AB143" s="84"/>
      <c r="AD143" s="83"/>
      <c r="AE143" s="83"/>
      <c r="AF143" s="26"/>
    </row>
    <row r="144" spans="1:32" x14ac:dyDescent="0.25">
      <c r="A144"/>
      <c r="B144" s="82"/>
      <c r="R144"/>
      <c r="S144"/>
      <c r="T144"/>
      <c r="U144" s="84"/>
      <c r="W144" s="84"/>
      <c r="X144" s="84"/>
      <c r="Z144"/>
      <c r="AB144" s="84"/>
      <c r="AD144" s="83"/>
      <c r="AE144" s="83"/>
      <c r="AF144" s="26"/>
    </row>
    <row r="145" spans="1:32" x14ac:dyDescent="0.25">
      <c r="A145"/>
      <c r="B145" s="82"/>
      <c r="R145"/>
      <c r="S145"/>
      <c r="T145"/>
      <c r="U145" s="84"/>
      <c r="W145" s="84"/>
      <c r="X145" s="84"/>
      <c r="Z145"/>
      <c r="AB145" s="84"/>
      <c r="AD145" s="83"/>
      <c r="AE145" s="83"/>
      <c r="AF145" s="26"/>
    </row>
    <row r="146" spans="1:32" x14ac:dyDescent="0.25">
      <c r="A146"/>
      <c r="B146" s="82"/>
      <c r="R146"/>
      <c r="S146"/>
      <c r="T146"/>
      <c r="U146" s="84"/>
      <c r="W146" s="84"/>
      <c r="X146" s="84"/>
      <c r="Z146"/>
      <c r="AB146" s="84"/>
      <c r="AD146" s="83"/>
      <c r="AE146" s="83"/>
      <c r="AF146" s="26"/>
    </row>
    <row r="147" spans="1:32" x14ac:dyDescent="0.25">
      <c r="A147"/>
      <c r="B147" s="82"/>
      <c r="R147"/>
      <c r="S147"/>
      <c r="T147"/>
      <c r="U147" s="84"/>
      <c r="W147" s="84"/>
      <c r="X147" s="84"/>
      <c r="Z147"/>
      <c r="AB147" s="84"/>
      <c r="AD147" s="83"/>
      <c r="AE147" s="83"/>
      <c r="AF147" s="26"/>
    </row>
    <row r="148" spans="1:32" x14ac:dyDescent="0.25">
      <c r="A148"/>
      <c r="B148" s="82"/>
      <c r="R148"/>
      <c r="S148"/>
      <c r="T148"/>
      <c r="U148" s="84"/>
      <c r="W148" s="84"/>
      <c r="X148" s="84"/>
      <c r="Z148"/>
      <c r="AB148" s="84"/>
      <c r="AD148" s="83"/>
      <c r="AE148" s="83"/>
      <c r="AF148" s="26"/>
    </row>
    <row r="149" spans="1:32" x14ac:dyDescent="0.25">
      <c r="A149"/>
      <c r="B149" s="82"/>
      <c r="R149"/>
      <c r="S149"/>
      <c r="T149"/>
      <c r="U149" s="84"/>
      <c r="W149" s="84"/>
      <c r="X149" s="84"/>
      <c r="Z149"/>
      <c r="AB149" s="84"/>
      <c r="AD149" s="83"/>
      <c r="AE149" s="83"/>
      <c r="AF149" s="26"/>
    </row>
    <row r="150" spans="1:32" x14ac:dyDescent="0.25">
      <c r="A150"/>
      <c r="B150" s="82"/>
      <c r="R150"/>
      <c r="S150"/>
      <c r="T150"/>
      <c r="U150" s="84"/>
      <c r="W150" s="84"/>
      <c r="X150" s="84"/>
      <c r="Z150"/>
      <c r="AB150" s="84"/>
      <c r="AD150" s="83"/>
      <c r="AE150" s="83"/>
      <c r="AF150" s="26"/>
    </row>
    <row r="151" spans="1:32" x14ac:dyDescent="0.25">
      <c r="A151"/>
      <c r="B151" s="82"/>
      <c r="R151"/>
      <c r="S151"/>
      <c r="T151"/>
      <c r="U151" s="84"/>
      <c r="W151" s="84"/>
      <c r="X151" s="84"/>
      <c r="Z151"/>
      <c r="AB151" s="84"/>
      <c r="AD151" s="83"/>
      <c r="AE151" s="83"/>
      <c r="AF151" s="26"/>
    </row>
    <row r="152" spans="1:32" x14ac:dyDescent="0.25">
      <c r="A152"/>
      <c r="B152" s="82"/>
      <c r="R152"/>
      <c r="S152"/>
      <c r="T152"/>
      <c r="U152" s="84"/>
      <c r="W152" s="84"/>
      <c r="X152" s="84"/>
      <c r="Z152"/>
      <c r="AB152" s="84"/>
      <c r="AD152" s="83"/>
      <c r="AE152" s="83"/>
      <c r="AF152" s="26"/>
    </row>
    <row r="153" spans="1:32" x14ac:dyDescent="0.25">
      <c r="A153"/>
      <c r="B153" s="82"/>
      <c r="R153"/>
      <c r="S153"/>
      <c r="T153"/>
      <c r="U153" s="84"/>
      <c r="W153" s="84"/>
      <c r="X153" s="84"/>
      <c r="Z153"/>
      <c r="AB153" s="84"/>
      <c r="AD153" s="83"/>
      <c r="AE153" s="83"/>
      <c r="AF153" s="26"/>
    </row>
    <row r="154" spans="1:32" x14ac:dyDescent="0.25">
      <c r="A154"/>
      <c r="B154" s="82"/>
      <c r="R154"/>
      <c r="S154"/>
      <c r="T154"/>
      <c r="U154" s="84"/>
      <c r="W154" s="84"/>
      <c r="X154" s="84"/>
      <c r="Z154"/>
      <c r="AB154" s="84"/>
      <c r="AD154" s="83"/>
      <c r="AE154" s="83"/>
      <c r="AF154" s="26"/>
    </row>
    <row r="155" spans="1:32" x14ac:dyDescent="0.25">
      <c r="A155"/>
      <c r="B155" s="82"/>
      <c r="R155"/>
      <c r="S155"/>
      <c r="T155"/>
      <c r="U155" s="84"/>
      <c r="W155" s="84"/>
      <c r="X155" s="84"/>
      <c r="Z155"/>
      <c r="AB155" s="84"/>
      <c r="AD155" s="83"/>
      <c r="AE155" s="83"/>
      <c r="AF155" s="26"/>
    </row>
    <row r="156" spans="1:32" x14ac:dyDescent="0.25">
      <c r="A156"/>
      <c r="B156" s="82"/>
      <c r="R156"/>
      <c r="S156"/>
      <c r="T156"/>
      <c r="U156" s="84"/>
      <c r="W156" s="84"/>
      <c r="X156" s="84"/>
      <c r="Z156"/>
      <c r="AB156" s="84"/>
      <c r="AD156" s="83"/>
      <c r="AE156" s="83"/>
      <c r="AF156" s="26"/>
    </row>
    <row r="157" spans="1:32" x14ac:dyDescent="0.25">
      <c r="A157"/>
      <c r="B157" s="82"/>
      <c r="R157"/>
      <c r="S157"/>
      <c r="T157"/>
      <c r="U157" s="84"/>
      <c r="W157" s="84"/>
      <c r="X157" s="84"/>
      <c r="Z157"/>
      <c r="AB157" s="84"/>
      <c r="AD157" s="83"/>
      <c r="AE157" s="83"/>
      <c r="AF157" s="26"/>
    </row>
    <row r="158" spans="1:32" x14ac:dyDescent="0.25">
      <c r="A158"/>
      <c r="B158" s="82"/>
      <c r="R158"/>
      <c r="S158"/>
      <c r="T158"/>
      <c r="U158" s="84"/>
      <c r="W158" s="84"/>
      <c r="X158" s="84"/>
      <c r="Z158"/>
      <c r="AB158" s="84"/>
      <c r="AD158" s="83"/>
      <c r="AE158" s="83"/>
      <c r="AF158" s="26"/>
    </row>
    <row r="159" spans="1:32" x14ac:dyDescent="0.25">
      <c r="A159"/>
      <c r="B159" s="82"/>
      <c r="R159"/>
      <c r="S159"/>
      <c r="T159"/>
      <c r="U159" s="84"/>
      <c r="W159" s="84"/>
      <c r="X159" s="84"/>
      <c r="Z159"/>
      <c r="AB159" s="84"/>
      <c r="AD159" s="83"/>
      <c r="AE159" s="83"/>
      <c r="AF159" s="26"/>
    </row>
    <row r="160" spans="1:32" x14ac:dyDescent="0.25">
      <c r="A160"/>
      <c r="B160" s="82"/>
      <c r="R160"/>
      <c r="S160"/>
      <c r="T160"/>
      <c r="U160" s="84"/>
      <c r="W160" s="84"/>
      <c r="X160" s="84"/>
      <c r="Z160"/>
      <c r="AB160" s="84"/>
      <c r="AD160" s="83"/>
      <c r="AE160" s="83"/>
      <c r="AF160" s="26"/>
    </row>
    <row r="161" spans="1:32" x14ac:dyDescent="0.25">
      <c r="A161"/>
      <c r="B161" s="82"/>
      <c r="R161"/>
      <c r="S161"/>
      <c r="T161"/>
      <c r="U161" s="84"/>
      <c r="W161" s="84"/>
      <c r="X161" s="84"/>
      <c r="Z161"/>
      <c r="AB161" s="84"/>
      <c r="AD161" s="83"/>
      <c r="AE161" s="83"/>
      <c r="AF161" s="26"/>
    </row>
    <row r="162" spans="1:32" x14ac:dyDescent="0.25">
      <c r="A162"/>
      <c r="B162" s="82"/>
      <c r="R162"/>
      <c r="S162"/>
      <c r="T162"/>
      <c r="U162" s="84"/>
      <c r="W162" s="84"/>
      <c r="X162" s="84"/>
      <c r="Z162"/>
      <c r="AB162" s="84"/>
      <c r="AD162" s="83"/>
      <c r="AE162" s="83"/>
      <c r="AF162" s="26"/>
    </row>
    <row r="163" spans="1:32" x14ac:dyDescent="0.25">
      <c r="A163"/>
      <c r="B163" s="82"/>
      <c r="R163"/>
      <c r="S163"/>
      <c r="T163"/>
      <c r="U163" s="84"/>
      <c r="W163" s="84"/>
      <c r="X163" s="84"/>
      <c r="Z163"/>
      <c r="AB163" s="84"/>
      <c r="AD163" s="83"/>
      <c r="AE163" s="83"/>
      <c r="AF163" s="26"/>
    </row>
    <row r="164" spans="1:32" x14ac:dyDescent="0.25">
      <c r="A164"/>
      <c r="B164" s="82"/>
      <c r="R164"/>
      <c r="S164"/>
      <c r="T164"/>
      <c r="U164" s="84"/>
      <c r="W164" s="84"/>
      <c r="X164" s="84"/>
      <c r="Z164"/>
      <c r="AB164" s="84"/>
      <c r="AD164" s="83"/>
      <c r="AE164" s="83"/>
      <c r="AF164" s="26"/>
    </row>
    <row r="165" spans="1:32" x14ac:dyDescent="0.25">
      <c r="A165"/>
      <c r="B165" s="82"/>
      <c r="R165"/>
      <c r="S165"/>
      <c r="T165"/>
      <c r="U165" s="84"/>
      <c r="W165" s="84"/>
      <c r="X165" s="84"/>
      <c r="Z165"/>
      <c r="AB165" s="84"/>
      <c r="AD165" s="83"/>
      <c r="AE165" s="83"/>
      <c r="AF165" s="26"/>
    </row>
    <row r="166" spans="1:32" x14ac:dyDescent="0.25">
      <c r="A166"/>
      <c r="B166" s="82"/>
      <c r="R166"/>
      <c r="S166"/>
      <c r="T166"/>
      <c r="U166" s="84"/>
      <c r="W166" s="84"/>
      <c r="X166" s="84"/>
      <c r="Z166"/>
      <c r="AB166" s="84"/>
      <c r="AD166" s="83"/>
      <c r="AE166" s="83"/>
      <c r="AF166" s="26"/>
    </row>
    <row r="167" spans="1:32" x14ac:dyDescent="0.25">
      <c r="A167"/>
      <c r="B167" s="82"/>
      <c r="R167"/>
      <c r="S167"/>
      <c r="T167"/>
      <c r="U167" s="84"/>
      <c r="W167" s="84"/>
      <c r="X167" s="84"/>
      <c r="Z167"/>
      <c r="AB167" s="84"/>
      <c r="AD167" s="83"/>
      <c r="AE167" s="83"/>
      <c r="AF167" s="26"/>
    </row>
    <row r="168" spans="1:32" x14ac:dyDescent="0.25">
      <c r="A168"/>
      <c r="B168" s="82"/>
      <c r="R168"/>
      <c r="S168"/>
      <c r="T168"/>
      <c r="U168" s="84"/>
      <c r="W168" s="84"/>
      <c r="X168" s="84"/>
      <c r="Z168"/>
      <c r="AB168" s="84"/>
      <c r="AD168" s="83"/>
      <c r="AE168" s="83"/>
      <c r="AF168" s="26"/>
    </row>
    <row r="169" spans="1:32" x14ac:dyDescent="0.25">
      <c r="A169"/>
      <c r="B169" s="82"/>
      <c r="R169"/>
      <c r="S169"/>
      <c r="T169"/>
      <c r="U169" s="84"/>
      <c r="W169" s="84"/>
      <c r="X169" s="84"/>
      <c r="Z169"/>
      <c r="AB169" s="84"/>
      <c r="AD169" s="83"/>
      <c r="AE169" s="83"/>
      <c r="AF169" s="26"/>
    </row>
    <row r="170" spans="1:32" x14ac:dyDescent="0.25">
      <c r="A170"/>
      <c r="B170" s="82"/>
      <c r="R170"/>
      <c r="S170"/>
      <c r="T170"/>
      <c r="U170" s="84"/>
      <c r="W170" s="84"/>
      <c r="X170" s="84"/>
      <c r="Z170"/>
      <c r="AB170" s="84"/>
      <c r="AD170" s="83"/>
      <c r="AE170" s="83"/>
      <c r="AF170" s="26"/>
    </row>
    <row r="171" spans="1:32" x14ac:dyDescent="0.25">
      <c r="A171"/>
      <c r="B171" s="82"/>
      <c r="R171"/>
      <c r="S171"/>
      <c r="T171"/>
      <c r="U171" s="84"/>
      <c r="W171" s="84"/>
      <c r="X171" s="84"/>
      <c r="Z171"/>
      <c r="AB171" s="84"/>
      <c r="AD171" s="83"/>
      <c r="AE171" s="83"/>
      <c r="AF171" s="26"/>
    </row>
    <row r="172" spans="1:32" x14ac:dyDescent="0.25">
      <c r="A172"/>
      <c r="B172" s="82"/>
      <c r="R172"/>
      <c r="S172"/>
      <c r="T172"/>
      <c r="U172" s="84"/>
      <c r="W172" s="84"/>
      <c r="X172" s="84"/>
      <c r="Z172"/>
      <c r="AB172" s="84"/>
      <c r="AD172" s="83"/>
      <c r="AE172" s="83"/>
      <c r="AF172" s="26"/>
    </row>
    <row r="173" spans="1:32" x14ac:dyDescent="0.25">
      <c r="A173"/>
      <c r="B173" s="82"/>
      <c r="R173"/>
      <c r="S173"/>
      <c r="T173"/>
      <c r="U173" s="84"/>
      <c r="W173" s="84"/>
      <c r="X173" s="84"/>
      <c r="Z173"/>
      <c r="AB173" s="84"/>
      <c r="AD173" s="83"/>
      <c r="AE173" s="83"/>
      <c r="AF173" s="26"/>
    </row>
    <row r="174" spans="1:32" x14ac:dyDescent="0.25">
      <c r="A174"/>
      <c r="B174" s="82"/>
      <c r="R174"/>
      <c r="S174"/>
      <c r="T174"/>
      <c r="U174" s="84"/>
      <c r="W174" s="84"/>
      <c r="X174" s="84"/>
      <c r="Z174"/>
      <c r="AB174" s="84"/>
      <c r="AD174" s="83"/>
      <c r="AE174" s="83"/>
      <c r="AF174" s="26"/>
    </row>
    <row r="175" spans="1:32" x14ac:dyDescent="0.25">
      <c r="A175"/>
      <c r="B175" s="82"/>
      <c r="R175"/>
      <c r="S175"/>
      <c r="T175"/>
      <c r="U175" s="84"/>
      <c r="W175" s="84"/>
      <c r="X175" s="84"/>
      <c r="Z175"/>
      <c r="AB175" s="84"/>
      <c r="AD175" s="83"/>
      <c r="AE175" s="83"/>
      <c r="AF175" s="26"/>
    </row>
    <row r="176" spans="1:32" x14ac:dyDescent="0.25">
      <c r="A176"/>
      <c r="B176" s="82"/>
      <c r="R176"/>
      <c r="S176"/>
      <c r="T176"/>
      <c r="U176" s="84"/>
      <c r="W176" s="84"/>
      <c r="X176" s="84"/>
      <c r="Z176"/>
      <c r="AB176" s="84"/>
      <c r="AD176" s="83"/>
      <c r="AE176" s="83"/>
      <c r="AF176" s="26"/>
    </row>
    <row r="177" spans="1:32" x14ac:dyDescent="0.25">
      <c r="A177"/>
      <c r="B177" s="82"/>
      <c r="R177"/>
      <c r="S177"/>
      <c r="T177"/>
      <c r="U177" s="84"/>
      <c r="W177" s="84"/>
      <c r="X177" s="84"/>
      <c r="Z177"/>
      <c r="AB177" s="84"/>
      <c r="AD177" s="83"/>
      <c r="AE177" s="83"/>
      <c r="AF177" s="26"/>
    </row>
    <row r="178" spans="1:32" x14ac:dyDescent="0.25">
      <c r="A178"/>
      <c r="B178" s="82"/>
      <c r="R178"/>
      <c r="S178"/>
      <c r="T178"/>
      <c r="U178" s="84"/>
      <c r="W178" s="84"/>
      <c r="X178" s="84"/>
      <c r="Z178"/>
      <c r="AB178" s="84"/>
      <c r="AD178" s="83"/>
      <c r="AE178" s="83"/>
      <c r="AF178" s="26"/>
    </row>
    <row r="179" spans="1:32" x14ac:dyDescent="0.25">
      <c r="A179"/>
      <c r="B179" s="82"/>
      <c r="R179"/>
      <c r="S179"/>
      <c r="T179"/>
      <c r="U179" s="84"/>
      <c r="W179" s="84"/>
      <c r="X179" s="84"/>
      <c r="Z179"/>
      <c r="AB179" s="84"/>
      <c r="AD179" s="83"/>
      <c r="AE179" s="83"/>
      <c r="AF179" s="26"/>
    </row>
    <row r="180" spans="1:32" x14ac:dyDescent="0.25">
      <c r="A180"/>
      <c r="B180" s="82"/>
      <c r="R180"/>
      <c r="S180"/>
      <c r="T180"/>
      <c r="U180" s="84"/>
      <c r="W180" s="84"/>
      <c r="X180" s="84"/>
      <c r="Z180"/>
      <c r="AB180" s="84"/>
      <c r="AD180" s="83"/>
      <c r="AE180" s="83"/>
      <c r="AF180" s="26"/>
    </row>
    <row r="181" spans="1:32" x14ac:dyDescent="0.25">
      <c r="A181"/>
      <c r="B181" s="82"/>
      <c r="R181"/>
      <c r="S181"/>
      <c r="T181"/>
      <c r="U181" s="84"/>
      <c r="W181" s="84"/>
      <c r="X181" s="84"/>
      <c r="Z181"/>
      <c r="AB181" s="84"/>
      <c r="AD181" s="83"/>
      <c r="AE181" s="83"/>
      <c r="AF181" s="26"/>
    </row>
    <row r="182" spans="1:32" x14ac:dyDescent="0.25">
      <c r="A182"/>
      <c r="B182" s="82"/>
      <c r="R182"/>
      <c r="S182"/>
      <c r="T182"/>
      <c r="U182" s="84"/>
      <c r="W182" s="84"/>
      <c r="X182" s="84"/>
      <c r="Z182"/>
      <c r="AB182" s="84"/>
      <c r="AD182" s="83"/>
      <c r="AE182" s="83"/>
      <c r="AF182" s="26"/>
    </row>
    <row r="183" spans="1:32" x14ac:dyDescent="0.25">
      <c r="A183"/>
      <c r="B183" s="82"/>
      <c r="R183"/>
      <c r="S183"/>
      <c r="T183"/>
      <c r="U183" s="84"/>
      <c r="W183" s="84"/>
      <c r="X183" s="84"/>
      <c r="Z183"/>
      <c r="AB183" s="84"/>
      <c r="AD183" s="83"/>
      <c r="AE183" s="83"/>
      <c r="AF183" s="26"/>
    </row>
    <row r="184" spans="1:32" x14ac:dyDescent="0.25">
      <c r="A184"/>
      <c r="B184" s="82"/>
      <c r="R184"/>
      <c r="S184"/>
      <c r="T184"/>
      <c r="U184" s="84"/>
      <c r="W184" s="84"/>
      <c r="X184" s="84"/>
      <c r="Z184"/>
      <c r="AB184" s="84"/>
      <c r="AD184" s="83"/>
      <c r="AE184" s="83"/>
      <c r="AF184" s="26"/>
    </row>
    <row r="185" spans="1:32" x14ac:dyDescent="0.25">
      <c r="A185"/>
      <c r="B185" s="82"/>
      <c r="R185"/>
      <c r="S185"/>
      <c r="T185"/>
      <c r="U185" s="84"/>
      <c r="W185" s="84"/>
      <c r="X185" s="84"/>
      <c r="Z185"/>
      <c r="AB185" s="84"/>
      <c r="AD185" s="83"/>
      <c r="AE185" s="83"/>
      <c r="AF185" s="26"/>
    </row>
    <row r="186" spans="1:32" x14ac:dyDescent="0.25">
      <c r="A186"/>
      <c r="B186" s="82"/>
      <c r="R186"/>
      <c r="S186"/>
      <c r="T186"/>
      <c r="U186" s="84"/>
      <c r="W186" s="84"/>
      <c r="X186" s="84"/>
      <c r="Z186"/>
      <c r="AB186" s="84"/>
      <c r="AD186" s="83"/>
      <c r="AE186" s="83"/>
      <c r="AF186" s="26"/>
    </row>
    <row r="187" spans="1:32" x14ac:dyDescent="0.25">
      <c r="A187"/>
      <c r="B187" s="82"/>
      <c r="R187"/>
      <c r="S187"/>
      <c r="T187"/>
      <c r="U187" s="84"/>
      <c r="W187" s="84"/>
      <c r="X187" s="84"/>
      <c r="Z187"/>
      <c r="AB187" s="84"/>
      <c r="AD187" s="83"/>
      <c r="AE187" s="83"/>
      <c r="AF187" s="26"/>
    </row>
    <row r="188" spans="1:32" x14ac:dyDescent="0.25">
      <c r="A188"/>
      <c r="B188" s="82"/>
      <c r="R188"/>
      <c r="S188"/>
      <c r="T188"/>
      <c r="U188" s="84"/>
      <c r="W188" s="84"/>
      <c r="X188" s="84"/>
      <c r="Z188"/>
      <c r="AB188" s="84"/>
      <c r="AD188" s="83"/>
      <c r="AE188" s="83"/>
      <c r="AF188" s="26"/>
    </row>
    <row r="189" spans="1:32" x14ac:dyDescent="0.25">
      <c r="A189"/>
      <c r="B189" s="82"/>
      <c r="R189"/>
      <c r="S189"/>
      <c r="T189"/>
      <c r="U189" s="84"/>
      <c r="W189" s="84"/>
      <c r="X189" s="84"/>
      <c r="Z189"/>
      <c r="AB189" s="84"/>
      <c r="AD189" s="83"/>
      <c r="AE189" s="83"/>
      <c r="AF189" s="26"/>
    </row>
    <row r="190" spans="1:32" x14ac:dyDescent="0.25">
      <c r="A190"/>
      <c r="B190" s="82"/>
      <c r="R190"/>
      <c r="S190"/>
      <c r="T190"/>
      <c r="U190" s="84"/>
      <c r="W190" s="84"/>
      <c r="X190" s="84"/>
      <c r="Z190"/>
      <c r="AB190" s="84"/>
      <c r="AD190" s="83"/>
      <c r="AE190" s="83"/>
      <c r="AF190" s="26"/>
    </row>
    <row r="191" spans="1:32" x14ac:dyDescent="0.25">
      <c r="A191"/>
      <c r="B191" s="82"/>
      <c r="R191"/>
      <c r="S191"/>
      <c r="T191"/>
      <c r="U191" s="84"/>
      <c r="W191" s="84"/>
      <c r="X191" s="84"/>
      <c r="Z191"/>
      <c r="AB191" s="84"/>
      <c r="AD191" s="83"/>
      <c r="AE191" s="83"/>
      <c r="AF191" s="26"/>
    </row>
    <row r="192" spans="1:32" x14ac:dyDescent="0.25">
      <c r="A192"/>
      <c r="B192" s="82"/>
      <c r="R192"/>
      <c r="S192"/>
      <c r="T192"/>
      <c r="U192" s="84"/>
      <c r="W192" s="84"/>
      <c r="X192" s="84"/>
      <c r="Z192"/>
      <c r="AB192" s="84"/>
      <c r="AD192" s="83"/>
      <c r="AE192" s="83"/>
      <c r="AF192" s="26"/>
    </row>
    <row r="193" spans="1:32" x14ac:dyDescent="0.25">
      <c r="A193"/>
      <c r="B193" s="82"/>
      <c r="R193"/>
      <c r="S193"/>
      <c r="T193"/>
      <c r="U193" s="84"/>
      <c r="W193" s="84"/>
      <c r="X193" s="84"/>
      <c r="Z193"/>
      <c r="AB193" s="84"/>
      <c r="AD193" s="83"/>
      <c r="AE193" s="83"/>
      <c r="AF193" s="26"/>
    </row>
    <row r="194" spans="1:32" x14ac:dyDescent="0.25">
      <c r="A194"/>
      <c r="B194" s="82"/>
      <c r="R194"/>
      <c r="S194"/>
      <c r="T194"/>
      <c r="U194" s="84"/>
      <c r="W194" s="84"/>
      <c r="X194" s="84"/>
      <c r="Z194"/>
      <c r="AB194" s="84"/>
      <c r="AD194" s="83"/>
      <c r="AE194" s="83"/>
      <c r="AF194" s="26"/>
    </row>
    <row r="195" spans="1:32" x14ac:dyDescent="0.25">
      <c r="A195"/>
      <c r="B195" s="82"/>
      <c r="R195"/>
      <c r="S195"/>
      <c r="T195"/>
      <c r="U195" s="84"/>
      <c r="W195" s="84"/>
      <c r="X195" s="84"/>
      <c r="Z195"/>
      <c r="AB195" s="84"/>
      <c r="AD195" s="83"/>
      <c r="AE195" s="83"/>
      <c r="AF195" s="26"/>
    </row>
    <row r="196" spans="1:32" x14ac:dyDescent="0.25">
      <c r="A196"/>
      <c r="B196" s="82"/>
      <c r="R196"/>
      <c r="S196"/>
      <c r="T196"/>
      <c r="U196" s="84"/>
      <c r="W196" s="84"/>
      <c r="X196" s="84"/>
      <c r="Z196"/>
      <c r="AB196" s="84"/>
      <c r="AD196" s="83"/>
      <c r="AE196" s="83"/>
      <c r="AF196" s="26"/>
    </row>
    <row r="197" spans="1:32" x14ac:dyDescent="0.25">
      <c r="A197"/>
      <c r="B197" s="82"/>
      <c r="R197"/>
      <c r="S197"/>
      <c r="T197"/>
      <c r="U197" s="84"/>
      <c r="W197" s="84"/>
      <c r="X197" s="84"/>
      <c r="Z197"/>
      <c r="AB197" s="84"/>
      <c r="AD197" s="83"/>
      <c r="AE197" s="83"/>
      <c r="AF197" s="26"/>
    </row>
    <row r="198" spans="1:32" x14ac:dyDescent="0.25">
      <c r="A198"/>
      <c r="B198" s="82"/>
      <c r="R198"/>
      <c r="S198"/>
      <c r="T198"/>
      <c r="U198" s="84"/>
      <c r="W198" s="84"/>
      <c r="X198" s="84"/>
      <c r="Z198"/>
      <c r="AB198" s="84"/>
      <c r="AD198" s="83"/>
      <c r="AE198" s="83"/>
      <c r="AF198" s="26"/>
    </row>
    <row r="199" spans="1:32" x14ac:dyDescent="0.25">
      <c r="A199"/>
      <c r="B199" s="82"/>
      <c r="R199"/>
      <c r="S199"/>
      <c r="T199"/>
      <c r="U199" s="84"/>
      <c r="W199" s="84"/>
      <c r="X199" s="84"/>
      <c r="Z199"/>
      <c r="AB199" s="84"/>
      <c r="AD199" s="83"/>
      <c r="AE199" s="83"/>
      <c r="AF199" s="26"/>
    </row>
    <row r="200" spans="1:32" x14ac:dyDescent="0.25">
      <c r="A200"/>
      <c r="B200" s="82"/>
      <c r="R200"/>
      <c r="S200"/>
      <c r="T200"/>
      <c r="U200" s="84"/>
      <c r="W200" s="84"/>
      <c r="X200" s="84"/>
      <c r="Z200"/>
      <c r="AB200" s="84"/>
      <c r="AD200" s="83"/>
      <c r="AE200" s="83"/>
      <c r="AF200" s="26"/>
    </row>
    <row r="201" spans="1:32" x14ac:dyDescent="0.25">
      <c r="A201"/>
      <c r="B201" s="82"/>
      <c r="R201"/>
      <c r="S201"/>
      <c r="T201"/>
      <c r="U201" s="84"/>
      <c r="W201" s="84"/>
      <c r="X201" s="84"/>
      <c r="Z201"/>
      <c r="AB201" s="84"/>
      <c r="AD201" s="83"/>
      <c r="AE201" s="83"/>
      <c r="AF201" s="26"/>
    </row>
    <row r="202" spans="1:32" x14ac:dyDescent="0.25">
      <c r="A202"/>
      <c r="B202" s="82"/>
      <c r="R202"/>
      <c r="S202"/>
      <c r="T202"/>
      <c r="U202" s="84"/>
      <c r="W202" s="84"/>
      <c r="X202" s="84"/>
      <c r="Z202"/>
      <c r="AB202" s="84"/>
      <c r="AD202" s="83"/>
      <c r="AE202" s="83"/>
      <c r="AF202" s="26"/>
    </row>
    <row r="203" spans="1:32" x14ac:dyDescent="0.25">
      <c r="A203"/>
      <c r="B203" s="82"/>
      <c r="R203"/>
      <c r="S203"/>
      <c r="T203"/>
      <c r="U203" s="84"/>
      <c r="W203" s="84"/>
      <c r="X203" s="84"/>
      <c r="Z203"/>
      <c r="AB203" s="84"/>
      <c r="AD203" s="83"/>
      <c r="AE203" s="83"/>
      <c r="AF203" s="26"/>
    </row>
    <row r="204" spans="1:32" x14ac:dyDescent="0.25">
      <c r="A204"/>
      <c r="B204" s="82"/>
      <c r="R204"/>
      <c r="S204"/>
      <c r="T204"/>
      <c r="U204" s="84"/>
      <c r="W204" s="84"/>
      <c r="X204" s="84"/>
      <c r="Z204"/>
      <c r="AB204" s="84"/>
      <c r="AD204" s="83"/>
      <c r="AE204" s="83"/>
      <c r="AF204" s="26"/>
    </row>
    <row r="205" spans="1:32" x14ac:dyDescent="0.25">
      <c r="A205"/>
      <c r="B205" s="82"/>
      <c r="R205"/>
      <c r="S205"/>
      <c r="T205"/>
      <c r="U205" s="84"/>
      <c r="W205" s="84"/>
      <c r="X205" s="84"/>
      <c r="Z205"/>
      <c r="AB205" s="84"/>
      <c r="AD205" s="83"/>
      <c r="AE205" s="83"/>
      <c r="AF205" s="26"/>
    </row>
    <row r="206" spans="1:32" x14ac:dyDescent="0.25">
      <c r="A206"/>
      <c r="B206" s="82"/>
      <c r="R206"/>
      <c r="S206"/>
      <c r="T206"/>
      <c r="U206" s="84"/>
      <c r="W206" s="84"/>
      <c r="X206" s="84"/>
      <c r="Z206"/>
      <c r="AB206" s="84"/>
      <c r="AD206" s="83"/>
      <c r="AE206" s="83"/>
      <c r="AF206" s="26"/>
    </row>
    <row r="207" spans="1:32" x14ac:dyDescent="0.25">
      <c r="A207"/>
      <c r="B207" s="82"/>
      <c r="R207"/>
      <c r="S207"/>
      <c r="T207"/>
      <c r="U207" s="84"/>
      <c r="W207" s="84"/>
      <c r="X207" s="84"/>
      <c r="Z207"/>
      <c r="AB207" s="84"/>
      <c r="AD207" s="83"/>
      <c r="AE207" s="83"/>
      <c r="AF207" s="26"/>
    </row>
    <row r="208" spans="1:32" x14ac:dyDescent="0.25">
      <c r="A208"/>
      <c r="B208" s="82"/>
      <c r="R208"/>
      <c r="S208"/>
      <c r="T208"/>
      <c r="U208" s="84"/>
      <c r="W208" s="84"/>
      <c r="X208" s="84"/>
      <c r="Z208"/>
      <c r="AB208" s="84"/>
      <c r="AD208" s="83"/>
      <c r="AE208" s="83"/>
      <c r="AF208" s="26"/>
    </row>
    <row r="209" spans="1:32" x14ac:dyDescent="0.25">
      <c r="A209"/>
      <c r="B209" s="82"/>
      <c r="R209"/>
      <c r="S209"/>
      <c r="T209"/>
      <c r="U209" s="84"/>
      <c r="W209" s="84"/>
      <c r="X209" s="84"/>
      <c r="Z209"/>
      <c r="AB209" s="84"/>
      <c r="AD209" s="83"/>
      <c r="AE209" s="83"/>
      <c r="AF209" s="26"/>
    </row>
    <row r="210" spans="1:32" x14ac:dyDescent="0.25">
      <c r="A210"/>
      <c r="B210" s="82"/>
      <c r="R210"/>
      <c r="S210"/>
      <c r="T210"/>
      <c r="U210" s="84"/>
      <c r="W210" s="84"/>
      <c r="X210" s="84"/>
      <c r="Z210"/>
      <c r="AB210" s="84"/>
      <c r="AD210" s="83"/>
      <c r="AE210" s="83"/>
      <c r="AF210" s="26"/>
    </row>
    <row r="211" spans="1:32" x14ac:dyDescent="0.25">
      <c r="A211"/>
      <c r="B211" s="82"/>
      <c r="R211"/>
      <c r="S211"/>
      <c r="T211"/>
      <c r="U211" s="84"/>
      <c r="W211" s="84"/>
      <c r="X211" s="84"/>
      <c r="Z211"/>
      <c r="AB211" s="84"/>
      <c r="AD211" s="83"/>
      <c r="AE211" s="83"/>
      <c r="AF211" s="26"/>
    </row>
    <row r="212" spans="1:32" x14ac:dyDescent="0.25">
      <c r="A212"/>
      <c r="B212" s="82"/>
      <c r="R212"/>
      <c r="S212"/>
      <c r="T212"/>
      <c r="U212" s="84"/>
      <c r="W212" s="84"/>
      <c r="X212" s="84"/>
      <c r="Z212"/>
      <c r="AB212" s="84"/>
      <c r="AD212" s="83"/>
      <c r="AE212" s="83"/>
      <c r="AF212" s="26"/>
    </row>
    <row r="213" spans="1:32" x14ac:dyDescent="0.25">
      <c r="A213"/>
      <c r="B213" s="82"/>
      <c r="R213"/>
      <c r="S213"/>
      <c r="T213"/>
      <c r="U213" s="84"/>
      <c r="W213" s="84"/>
      <c r="X213" s="84"/>
      <c r="Z213"/>
      <c r="AB213" s="84"/>
      <c r="AD213" s="83"/>
      <c r="AE213" s="83"/>
      <c r="AF213" s="26"/>
    </row>
    <row r="214" spans="1:32" x14ac:dyDescent="0.25">
      <c r="A214"/>
      <c r="B214" s="82"/>
      <c r="R214"/>
      <c r="S214"/>
      <c r="T214"/>
      <c r="U214" s="84"/>
      <c r="W214" s="84"/>
      <c r="X214" s="84"/>
      <c r="Z214"/>
      <c r="AB214" s="84"/>
      <c r="AD214" s="83"/>
      <c r="AE214" s="83"/>
      <c r="AF214" s="26"/>
    </row>
    <row r="215" spans="1:32" x14ac:dyDescent="0.25">
      <c r="A215"/>
      <c r="B215" s="82"/>
      <c r="R215"/>
      <c r="S215"/>
      <c r="T215"/>
      <c r="U215" s="84"/>
      <c r="W215" s="84"/>
      <c r="X215" s="84"/>
      <c r="Z215"/>
      <c r="AB215" s="84"/>
      <c r="AD215" s="83"/>
      <c r="AE215" s="83"/>
      <c r="AF215" s="26"/>
    </row>
    <row r="216" spans="1:32" x14ac:dyDescent="0.25">
      <c r="A216"/>
      <c r="B216" s="82"/>
      <c r="R216"/>
      <c r="S216"/>
      <c r="T216"/>
      <c r="U216" s="84"/>
      <c r="W216" s="84"/>
      <c r="X216" s="84"/>
      <c r="Z216"/>
      <c r="AB216" s="84"/>
      <c r="AD216" s="83"/>
      <c r="AE216" s="83"/>
      <c r="AF216" s="26"/>
    </row>
    <row r="217" spans="1:32" x14ac:dyDescent="0.25">
      <c r="A217"/>
      <c r="B217" s="82"/>
      <c r="R217"/>
      <c r="S217"/>
      <c r="T217"/>
      <c r="U217" s="84"/>
      <c r="W217" s="84"/>
      <c r="X217" s="84"/>
      <c r="Z217"/>
      <c r="AB217" s="84"/>
      <c r="AD217" s="83"/>
      <c r="AE217" s="83"/>
      <c r="AF217" s="26"/>
    </row>
    <row r="218" spans="1:32" x14ac:dyDescent="0.25">
      <c r="A218"/>
      <c r="B218" s="82"/>
      <c r="R218"/>
      <c r="S218"/>
      <c r="T218"/>
      <c r="U218" s="84"/>
      <c r="W218" s="84"/>
      <c r="X218" s="84"/>
      <c r="Z218"/>
      <c r="AB218" s="84"/>
      <c r="AD218" s="83"/>
      <c r="AE218" s="83"/>
      <c r="AF218" s="26"/>
    </row>
    <row r="219" spans="1:32" x14ac:dyDescent="0.25">
      <c r="A219"/>
      <c r="B219" s="82"/>
      <c r="R219"/>
      <c r="S219"/>
      <c r="T219"/>
      <c r="U219" s="84"/>
      <c r="W219" s="84"/>
      <c r="X219" s="84"/>
      <c r="Z219"/>
      <c r="AB219" s="84"/>
      <c r="AD219" s="83"/>
      <c r="AE219" s="83"/>
      <c r="AF219" s="26"/>
    </row>
    <row r="220" spans="1:32" x14ac:dyDescent="0.25">
      <c r="A220"/>
      <c r="B220" s="82"/>
      <c r="R220"/>
      <c r="S220"/>
      <c r="T220"/>
      <c r="U220" s="84"/>
      <c r="W220" s="84"/>
      <c r="X220" s="84"/>
      <c r="Z220"/>
      <c r="AB220" s="84"/>
      <c r="AD220" s="83"/>
      <c r="AE220" s="83"/>
      <c r="AF220" s="26"/>
    </row>
    <row r="221" spans="1:32" x14ac:dyDescent="0.25">
      <c r="A221"/>
      <c r="B221" s="82"/>
      <c r="R221"/>
      <c r="S221"/>
      <c r="T221"/>
      <c r="U221" s="84"/>
      <c r="W221" s="84"/>
      <c r="X221" s="84"/>
      <c r="Z221"/>
      <c r="AB221" s="84"/>
      <c r="AD221" s="83"/>
      <c r="AE221" s="83"/>
      <c r="AF221" s="26"/>
    </row>
    <row r="222" spans="1:32" x14ac:dyDescent="0.25">
      <c r="A222"/>
      <c r="B222" s="82"/>
      <c r="R222"/>
      <c r="S222"/>
      <c r="T222"/>
      <c r="U222" s="84"/>
      <c r="W222" s="84"/>
      <c r="X222" s="84"/>
      <c r="Z222"/>
      <c r="AB222" s="84"/>
      <c r="AD222" s="83"/>
      <c r="AE222" s="83"/>
      <c r="AF222" s="26"/>
    </row>
    <row r="223" spans="1:32" x14ac:dyDescent="0.25">
      <c r="A223"/>
      <c r="B223" s="82"/>
      <c r="R223"/>
      <c r="S223"/>
      <c r="T223"/>
      <c r="U223" s="84"/>
      <c r="W223" s="84"/>
      <c r="X223" s="84"/>
      <c r="Z223"/>
      <c r="AB223" s="84"/>
      <c r="AD223" s="83"/>
      <c r="AE223" s="83"/>
      <c r="AF223" s="26"/>
    </row>
    <row r="224" spans="1:32" x14ac:dyDescent="0.25">
      <c r="A224"/>
      <c r="B224" s="82"/>
      <c r="R224"/>
      <c r="S224"/>
      <c r="T224"/>
      <c r="U224" s="84"/>
      <c r="W224" s="84"/>
      <c r="X224" s="84"/>
      <c r="Z224"/>
      <c r="AB224" s="84"/>
      <c r="AD224" s="83"/>
      <c r="AE224" s="83"/>
      <c r="AF224" s="26"/>
    </row>
    <row r="225" spans="1:32" x14ac:dyDescent="0.25">
      <c r="A225"/>
      <c r="B225" s="82"/>
      <c r="R225"/>
      <c r="S225"/>
      <c r="T225"/>
      <c r="U225" s="84"/>
      <c r="W225" s="84"/>
      <c r="X225" s="84"/>
      <c r="Z225"/>
      <c r="AB225" s="84"/>
      <c r="AD225" s="83"/>
      <c r="AE225" s="83"/>
      <c r="AF225" s="26"/>
    </row>
    <row r="226" spans="1:32" x14ac:dyDescent="0.25">
      <c r="A226"/>
      <c r="B226" s="82"/>
      <c r="R226"/>
      <c r="S226"/>
      <c r="T226"/>
      <c r="U226" s="84"/>
      <c r="W226" s="84"/>
      <c r="X226" s="84"/>
      <c r="Z226"/>
      <c r="AB226" s="84"/>
      <c r="AD226" s="83"/>
      <c r="AE226" s="83"/>
      <c r="AF226" s="26"/>
    </row>
    <row r="227" spans="1:32" x14ac:dyDescent="0.25">
      <c r="A227"/>
      <c r="B227" s="82"/>
      <c r="R227"/>
      <c r="S227"/>
      <c r="T227"/>
      <c r="U227" s="84"/>
      <c r="W227" s="84"/>
      <c r="X227" s="84"/>
      <c r="Z227"/>
      <c r="AB227" s="84"/>
      <c r="AD227" s="83"/>
      <c r="AE227" s="83"/>
      <c r="AF227" s="26"/>
    </row>
    <row r="228" spans="1:32" x14ac:dyDescent="0.25">
      <c r="A228"/>
      <c r="B228" s="82"/>
      <c r="R228"/>
      <c r="S228"/>
      <c r="T228"/>
      <c r="U228" s="84"/>
      <c r="W228" s="84"/>
      <c r="X228" s="84"/>
      <c r="Z228"/>
      <c r="AB228" s="84"/>
      <c r="AD228" s="83"/>
      <c r="AE228" s="83"/>
      <c r="AF228" s="26"/>
    </row>
    <row r="229" spans="1:32" x14ac:dyDescent="0.25">
      <c r="A229"/>
      <c r="B229" s="82"/>
      <c r="R229"/>
      <c r="S229"/>
      <c r="T229"/>
      <c r="U229" s="84"/>
      <c r="W229" s="84"/>
      <c r="X229" s="84"/>
      <c r="Z229"/>
      <c r="AB229" s="84"/>
      <c r="AD229" s="83"/>
      <c r="AE229" s="83"/>
      <c r="AF229" s="83"/>
    </row>
    <row r="230" spans="1:32" x14ac:dyDescent="0.25">
      <c r="A230"/>
      <c r="B230" s="82"/>
      <c r="R230"/>
      <c r="S230"/>
      <c r="T230"/>
      <c r="U230" s="84"/>
      <c r="W230" s="84"/>
      <c r="X230" s="84"/>
      <c r="Z230"/>
      <c r="AB230" s="84"/>
      <c r="AD230" s="83"/>
      <c r="AE230" s="83"/>
      <c r="AF230" s="83"/>
    </row>
    <row r="231" spans="1:32" x14ac:dyDescent="0.25">
      <c r="A231"/>
      <c r="B231" s="82"/>
      <c r="R231"/>
      <c r="S231"/>
      <c r="T231"/>
      <c r="U231" s="84"/>
      <c r="W231" s="84"/>
      <c r="X231" s="84"/>
      <c r="Z231"/>
      <c r="AB231" s="84"/>
      <c r="AD231" s="83"/>
      <c r="AE231" s="83"/>
      <c r="AF231" s="83"/>
    </row>
    <row r="232" spans="1:32" x14ac:dyDescent="0.25">
      <c r="A232"/>
      <c r="B232" s="82"/>
      <c r="R232"/>
      <c r="S232"/>
      <c r="T232"/>
      <c r="U232" s="84"/>
      <c r="W232" s="84"/>
      <c r="X232" s="84"/>
      <c r="Z232"/>
      <c r="AB232" s="84"/>
      <c r="AD232" s="83"/>
      <c r="AE232" s="83"/>
      <c r="AF232" s="83"/>
    </row>
    <row r="233" spans="1:32" x14ac:dyDescent="0.25">
      <c r="A233"/>
      <c r="B233" s="82"/>
      <c r="R233"/>
      <c r="S233"/>
      <c r="T233"/>
      <c r="U233" s="84"/>
      <c r="W233" s="84"/>
      <c r="X233" s="84"/>
      <c r="Z233"/>
      <c r="AB233" s="84"/>
      <c r="AD233" s="83"/>
      <c r="AE233" s="83"/>
      <c r="AF233" s="83"/>
    </row>
    <row r="234" spans="1:32" x14ac:dyDescent="0.25">
      <c r="A234"/>
      <c r="B234" s="82"/>
      <c r="R234"/>
      <c r="S234"/>
      <c r="T234"/>
      <c r="U234" s="84"/>
      <c r="W234" s="84"/>
      <c r="X234" s="84"/>
      <c r="Z234"/>
      <c r="AB234" s="84"/>
      <c r="AD234" s="83"/>
      <c r="AE234" s="83"/>
      <c r="AF234" s="83"/>
    </row>
    <row r="235" spans="1:32" x14ac:dyDescent="0.25">
      <c r="A235"/>
      <c r="B235" s="82"/>
      <c r="R235"/>
      <c r="S235"/>
      <c r="T235"/>
      <c r="U235" s="84"/>
      <c r="W235" s="84"/>
      <c r="X235" s="84"/>
      <c r="Z235"/>
      <c r="AB235" s="84"/>
      <c r="AD235" s="83"/>
      <c r="AE235" s="83"/>
      <c r="AF235" s="83"/>
    </row>
    <row r="236" spans="1:32" x14ac:dyDescent="0.25">
      <c r="A236"/>
      <c r="B236" s="82"/>
      <c r="R236"/>
      <c r="S236"/>
      <c r="T236"/>
      <c r="U236" s="84"/>
      <c r="W236" s="84"/>
      <c r="X236" s="84"/>
      <c r="Z236"/>
      <c r="AB236" s="84"/>
      <c r="AD236" s="83"/>
      <c r="AE236" s="83"/>
      <c r="AF236" s="83"/>
    </row>
    <row r="237" spans="1:32" x14ac:dyDescent="0.25">
      <c r="A237"/>
      <c r="B237" s="82"/>
      <c r="R237"/>
      <c r="S237"/>
      <c r="T237"/>
      <c r="U237" s="84"/>
      <c r="W237" s="84"/>
      <c r="X237" s="84"/>
      <c r="Z237"/>
      <c r="AB237" s="84"/>
      <c r="AD237" s="83"/>
      <c r="AE237" s="83"/>
      <c r="AF237" s="83"/>
    </row>
    <row r="238" spans="1:32" x14ac:dyDescent="0.25">
      <c r="A238"/>
      <c r="B238" s="82"/>
      <c r="R238"/>
      <c r="S238"/>
      <c r="T238"/>
      <c r="U238" s="84"/>
      <c r="W238" s="84"/>
      <c r="X238" s="84"/>
      <c r="Z238"/>
      <c r="AB238" s="84"/>
      <c r="AD238" s="83"/>
      <c r="AE238" s="83"/>
      <c r="AF238" s="83"/>
    </row>
    <row r="239" spans="1:32" x14ac:dyDescent="0.25">
      <c r="A239"/>
      <c r="B239" s="82"/>
      <c r="R239"/>
      <c r="S239"/>
      <c r="T239"/>
      <c r="U239" s="84"/>
      <c r="W239" s="84"/>
      <c r="X239" s="84"/>
      <c r="Z239"/>
      <c r="AB239" s="84"/>
      <c r="AD239" s="83"/>
      <c r="AE239" s="83"/>
      <c r="AF239" s="83"/>
    </row>
    <row r="240" spans="1:32" x14ac:dyDescent="0.25">
      <c r="A240"/>
      <c r="B240" s="82"/>
      <c r="R240"/>
      <c r="S240"/>
      <c r="T240"/>
      <c r="U240" s="84"/>
      <c r="W240" s="84"/>
      <c r="X240" s="84"/>
      <c r="Z240"/>
      <c r="AB240" s="84"/>
      <c r="AD240" s="83"/>
      <c r="AE240" s="83"/>
      <c r="AF240" s="83"/>
    </row>
    <row r="241" spans="1:32" x14ac:dyDescent="0.25">
      <c r="A241"/>
      <c r="B241" s="82"/>
      <c r="R241"/>
      <c r="S241"/>
      <c r="T241"/>
      <c r="U241" s="84"/>
      <c r="W241" s="84"/>
      <c r="X241" s="84"/>
      <c r="Z241"/>
      <c r="AB241" s="84"/>
      <c r="AD241" s="83"/>
      <c r="AE241" s="83"/>
      <c r="AF241" s="83"/>
    </row>
    <row r="242" spans="1:32" x14ac:dyDescent="0.25">
      <c r="A242"/>
      <c r="B242" s="82"/>
      <c r="R242"/>
      <c r="S242"/>
      <c r="T242"/>
      <c r="U242" s="84"/>
      <c r="W242" s="84"/>
      <c r="X242" s="84"/>
      <c r="Z242"/>
      <c r="AB242" s="84"/>
      <c r="AD242" s="83"/>
      <c r="AE242" s="83"/>
      <c r="AF242" s="83"/>
    </row>
    <row r="243" spans="1:32" x14ac:dyDescent="0.25">
      <c r="A243"/>
      <c r="B243" s="82"/>
      <c r="R243"/>
      <c r="S243"/>
      <c r="T243"/>
      <c r="U243" s="84"/>
      <c r="W243" s="84"/>
      <c r="X243" s="84"/>
      <c r="Z243"/>
      <c r="AB243" s="84"/>
      <c r="AD243" s="83"/>
      <c r="AE243" s="83"/>
      <c r="AF243" s="83"/>
    </row>
    <row r="244" spans="1:32" x14ac:dyDescent="0.25">
      <c r="A244"/>
      <c r="B244" s="82"/>
      <c r="R244"/>
      <c r="S244"/>
      <c r="T244"/>
      <c r="U244" s="84"/>
      <c r="W244" s="84"/>
      <c r="X244" s="84"/>
      <c r="Z244"/>
      <c r="AB244" s="84"/>
      <c r="AD244" s="83"/>
      <c r="AE244" s="83"/>
      <c r="AF244" s="83"/>
    </row>
    <row r="245" spans="1:32" x14ac:dyDescent="0.25">
      <c r="A245"/>
      <c r="B245" s="82"/>
      <c r="R245"/>
      <c r="S245"/>
      <c r="T245"/>
      <c r="U245" s="84"/>
      <c r="W245" s="84"/>
      <c r="X245" s="84"/>
      <c r="Z245"/>
      <c r="AB245" s="84"/>
      <c r="AD245" s="83"/>
      <c r="AE245" s="83"/>
      <c r="AF245" s="83"/>
    </row>
    <row r="246" spans="1:32" x14ac:dyDescent="0.25">
      <c r="A246"/>
      <c r="B246" s="82"/>
      <c r="R246"/>
      <c r="S246"/>
      <c r="T246"/>
      <c r="U246" s="84"/>
      <c r="W246" s="84"/>
      <c r="X246" s="84"/>
      <c r="Z246"/>
      <c r="AB246" s="84"/>
      <c r="AD246" s="83"/>
      <c r="AE246" s="83"/>
      <c r="AF246" s="83"/>
    </row>
    <row r="247" spans="1:32" x14ac:dyDescent="0.25">
      <c r="A247"/>
      <c r="B247" s="82"/>
      <c r="R247"/>
      <c r="S247"/>
      <c r="T247"/>
      <c r="U247" s="84"/>
      <c r="W247" s="84"/>
      <c r="X247" s="84"/>
      <c r="Z247"/>
      <c r="AB247" s="84"/>
      <c r="AD247" s="83"/>
      <c r="AE247" s="83"/>
      <c r="AF247" s="83"/>
    </row>
    <row r="248" spans="1:32" x14ac:dyDescent="0.25">
      <c r="A248"/>
      <c r="B248" s="82"/>
      <c r="R248"/>
      <c r="S248"/>
      <c r="T248"/>
      <c r="U248" s="84"/>
      <c r="W248" s="84"/>
      <c r="X248" s="84"/>
      <c r="Z248"/>
      <c r="AB248" s="84"/>
      <c r="AD248" s="83"/>
      <c r="AE248" s="83"/>
      <c r="AF248" s="83"/>
    </row>
    <row r="249" spans="1:32" x14ac:dyDescent="0.25">
      <c r="A249"/>
      <c r="B249" s="82"/>
      <c r="R249"/>
      <c r="S249"/>
      <c r="T249"/>
      <c r="U249" s="84"/>
      <c r="W249" s="84"/>
      <c r="X249" s="84"/>
      <c r="Z249"/>
      <c r="AB249" s="84"/>
      <c r="AD249" s="83"/>
      <c r="AE249" s="83"/>
      <c r="AF249" s="83"/>
    </row>
    <row r="250" spans="1:32" x14ac:dyDescent="0.25">
      <c r="A250"/>
      <c r="B250" s="82"/>
      <c r="R250"/>
      <c r="S250"/>
      <c r="T250"/>
      <c r="U250" s="84"/>
      <c r="W250" s="84"/>
      <c r="X250" s="84"/>
      <c r="Z250"/>
      <c r="AB250" s="84"/>
      <c r="AD250" s="83"/>
      <c r="AE250" s="83"/>
      <c r="AF250" s="83"/>
    </row>
    <row r="251" spans="1:32" x14ac:dyDescent="0.25">
      <c r="A251"/>
      <c r="B251" s="82"/>
      <c r="R251"/>
      <c r="S251"/>
      <c r="T251"/>
      <c r="U251" s="84"/>
      <c r="W251" s="84"/>
      <c r="X251" s="84"/>
      <c r="Z251"/>
      <c r="AB251" s="84"/>
      <c r="AD251" s="83"/>
      <c r="AE251" s="83"/>
      <c r="AF251" s="83"/>
    </row>
    <row r="252" spans="1:32" x14ac:dyDescent="0.25">
      <c r="A252"/>
      <c r="B252" s="82"/>
      <c r="R252"/>
      <c r="S252"/>
      <c r="T252"/>
      <c r="U252" s="84"/>
      <c r="W252" s="84"/>
      <c r="X252" s="84"/>
      <c r="Z252"/>
      <c r="AB252" s="84"/>
      <c r="AD252" s="83"/>
      <c r="AE252" s="83"/>
      <c r="AF252" s="83"/>
    </row>
    <row r="253" spans="1:32" x14ac:dyDescent="0.25">
      <c r="A253"/>
      <c r="B253" s="82"/>
      <c r="R253"/>
      <c r="S253"/>
      <c r="T253"/>
      <c r="U253" s="84"/>
      <c r="W253" s="84"/>
      <c r="X253" s="84"/>
      <c r="Z253"/>
      <c r="AB253" s="84"/>
      <c r="AD253" s="83"/>
      <c r="AE253" s="83"/>
      <c r="AF253" s="83"/>
    </row>
    <row r="254" spans="1:32" x14ac:dyDescent="0.25">
      <c r="A254"/>
      <c r="B254" s="82"/>
      <c r="R254"/>
      <c r="S254"/>
      <c r="T254"/>
      <c r="U254" s="84"/>
      <c r="W254" s="84"/>
      <c r="X254" s="84"/>
      <c r="Z254"/>
      <c r="AB254" s="84"/>
      <c r="AD254" s="83"/>
      <c r="AE254" s="83"/>
      <c r="AF254" s="83"/>
    </row>
    <row r="255" spans="1:32" x14ac:dyDescent="0.25">
      <c r="A255"/>
      <c r="B255" s="82"/>
      <c r="R255"/>
      <c r="S255"/>
      <c r="T255"/>
      <c r="U255" s="84"/>
      <c r="W255" s="84"/>
      <c r="X255" s="84"/>
      <c r="Z255"/>
      <c r="AB255" s="84"/>
      <c r="AD255" s="83"/>
      <c r="AE255" s="83"/>
      <c r="AF255" s="83"/>
    </row>
    <row r="256" spans="1:32" x14ac:dyDescent="0.25">
      <c r="A256"/>
      <c r="B256" s="82"/>
      <c r="R256"/>
      <c r="S256"/>
      <c r="T256"/>
      <c r="U256" s="84"/>
      <c r="W256" s="84"/>
      <c r="X256" s="84"/>
      <c r="Z256"/>
      <c r="AB256" s="84"/>
      <c r="AD256" s="83"/>
      <c r="AE256" s="83"/>
      <c r="AF256" s="83"/>
    </row>
    <row r="257" spans="1:32" x14ac:dyDescent="0.25">
      <c r="A257"/>
      <c r="B257" s="82"/>
      <c r="R257"/>
      <c r="S257"/>
      <c r="T257"/>
      <c r="U257" s="84"/>
      <c r="W257" s="84"/>
      <c r="X257" s="84"/>
      <c r="Z257"/>
      <c r="AB257" s="84"/>
      <c r="AD257" s="83"/>
      <c r="AE257" s="83"/>
      <c r="AF257" s="83"/>
    </row>
    <row r="258" spans="1:32" x14ac:dyDescent="0.25">
      <c r="A258"/>
      <c r="B258" s="82"/>
      <c r="R258"/>
      <c r="S258"/>
      <c r="T258"/>
      <c r="U258" s="84"/>
      <c r="W258" s="84"/>
      <c r="X258" s="84"/>
      <c r="Z258"/>
      <c r="AB258" s="84"/>
      <c r="AD258" s="83"/>
      <c r="AE258" s="83"/>
      <c r="AF258" s="83"/>
    </row>
    <row r="259" spans="1:32" x14ac:dyDescent="0.25">
      <c r="A259"/>
      <c r="B259" s="82"/>
      <c r="R259"/>
      <c r="S259"/>
      <c r="T259"/>
      <c r="U259" s="84"/>
      <c r="W259" s="84"/>
      <c r="X259" s="84"/>
      <c r="Z259"/>
      <c r="AB259" s="84"/>
      <c r="AD259" s="83"/>
      <c r="AE259" s="83"/>
      <c r="AF259" s="83"/>
    </row>
    <row r="260" spans="1:32" x14ac:dyDescent="0.25">
      <c r="A260"/>
      <c r="B260" s="82"/>
      <c r="R260"/>
      <c r="S260"/>
      <c r="T260"/>
      <c r="U260" s="84"/>
      <c r="W260" s="84"/>
      <c r="X260" s="84"/>
      <c r="Z260"/>
      <c r="AB260" s="84"/>
      <c r="AD260" s="83"/>
      <c r="AE260" s="83"/>
      <c r="AF260" s="83"/>
    </row>
    <row r="261" spans="1:32" x14ac:dyDescent="0.25">
      <c r="A261"/>
      <c r="B261" s="82"/>
      <c r="R261"/>
      <c r="S261"/>
      <c r="T261"/>
      <c r="U261" s="84"/>
      <c r="W261" s="84"/>
      <c r="X261" s="84"/>
      <c r="Z261"/>
      <c r="AB261" s="84"/>
      <c r="AD261" s="83"/>
      <c r="AE261" s="83"/>
      <c r="AF261" s="83"/>
    </row>
    <row r="262" spans="1:32" x14ac:dyDescent="0.25">
      <c r="A262"/>
      <c r="B262" s="82"/>
      <c r="R262"/>
      <c r="S262"/>
      <c r="T262"/>
      <c r="U262" s="84"/>
      <c r="W262" s="84"/>
      <c r="X262" s="84"/>
      <c r="Z262"/>
      <c r="AB262" s="84"/>
      <c r="AD262" s="83"/>
      <c r="AE262" s="83"/>
      <c r="AF262" s="83"/>
    </row>
    <row r="263" spans="1:32" x14ac:dyDescent="0.25">
      <c r="A263"/>
      <c r="B263" s="82"/>
      <c r="R263"/>
      <c r="S263"/>
      <c r="T263"/>
      <c r="U263" s="84"/>
      <c r="W263" s="84"/>
      <c r="X263" s="84"/>
      <c r="Z263"/>
      <c r="AB263" s="84"/>
      <c r="AD263" s="83"/>
      <c r="AE263" s="83"/>
      <c r="AF263" s="83"/>
    </row>
    <row r="264" spans="1:32" x14ac:dyDescent="0.25">
      <c r="A264"/>
      <c r="B264" s="82"/>
      <c r="R264"/>
      <c r="S264"/>
      <c r="T264"/>
      <c r="U264" s="84"/>
      <c r="W264" s="84"/>
      <c r="X264" s="84"/>
      <c r="Z264"/>
      <c r="AB264" s="84"/>
      <c r="AD264" s="83"/>
      <c r="AE264" s="83"/>
      <c r="AF264" s="83"/>
    </row>
    <row r="265" spans="1:32" x14ac:dyDescent="0.25">
      <c r="A265"/>
      <c r="B265" s="82"/>
      <c r="R265"/>
      <c r="S265"/>
      <c r="T265"/>
      <c r="U265" s="84"/>
      <c r="W265" s="84"/>
      <c r="X265" s="84"/>
      <c r="Z265"/>
      <c r="AB265" s="84"/>
      <c r="AD265" s="83"/>
      <c r="AE265" s="83"/>
      <c r="AF265" s="83"/>
    </row>
    <row r="266" spans="1:32" x14ac:dyDescent="0.25">
      <c r="A266"/>
      <c r="B266" s="82"/>
      <c r="R266"/>
      <c r="S266"/>
      <c r="T266"/>
      <c r="U266" s="84"/>
      <c r="W266" s="84"/>
      <c r="X266" s="84"/>
      <c r="Z266"/>
      <c r="AB266" s="84"/>
      <c r="AD266" s="83"/>
      <c r="AE266" s="83"/>
      <c r="AF266" s="83"/>
    </row>
    <row r="267" spans="1:32" x14ac:dyDescent="0.25">
      <c r="A267"/>
      <c r="B267" s="82"/>
      <c r="R267"/>
      <c r="S267"/>
      <c r="T267"/>
      <c r="U267" s="84"/>
      <c r="W267" s="84"/>
      <c r="X267" s="84"/>
      <c r="Z267"/>
      <c r="AB267" s="84"/>
      <c r="AD267" s="83"/>
      <c r="AE267" s="83"/>
      <c r="AF267" s="83"/>
    </row>
    <row r="268" spans="1:32" x14ac:dyDescent="0.25">
      <c r="A268"/>
      <c r="B268" s="82"/>
      <c r="R268"/>
      <c r="S268"/>
      <c r="T268"/>
      <c r="U268" s="84"/>
      <c r="W268" s="84"/>
      <c r="X268" s="84"/>
      <c r="Z268"/>
      <c r="AB268" s="84"/>
      <c r="AD268" s="83"/>
      <c r="AE268" s="83"/>
      <c r="AF268" s="83"/>
    </row>
    <row r="269" spans="1:32" x14ac:dyDescent="0.25">
      <c r="A269"/>
      <c r="B269" s="82"/>
      <c r="R269"/>
      <c r="S269"/>
      <c r="T269"/>
      <c r="U269" s="84"/>
      <c r="W269" s="84"/>
      <c r="X269" s="84"/>
      <c r="Z269"/>
      <c r="AB269" s="84"/>
      <c r="AD269" s="83"/>
      <c r="AE269" s="83"/>
      <c r="AF269" s="83"/>
    </row>
    <row r="270" spans="1:32" x14ac:dyDescent="0.25">
      <c r="A270"/>
      <c r="B270" s="82"/>
      <c r="R270"/>
      <c r="S270"/>
      <c r="T270"/>
      <c r="U270" s="84"/>
      <c r="W270" s="84"/>
      <c r="X270" s="84"/>
      <c r="Z270"/>
      <c r="AB270" s="84"/>
      <c r="AD270" s="83"/>
      <c r="AE270" s="83"/>
      <c r="AF270" s="83"/>
    </row>
    <row r="271" spans="1:32" x14ac:dyDescent="0.25">
      <c r="A271"/>
      <c r="B271" s="82"/>
      <c r="R271"/>
      <c r="S271"/>
      <c r="T271"/>
      <c r="U271" s="84"/>
      <c r="W271" s="84"/>
      <c r="X271" s="84"/>
      <c r="Z271"/>
      <c r="AB271" s="84"/>
      <c r="AD271" s="83"/>
      <c r="AE271" s="83"/>
      <c r="AF271" s="83"/>
    </row>
    <row r="272" spans="1:32" x14ac:dyDescent="0.25">
      <c r="A272"/>
      <c r="B272" s="82"/>
      <c r="R272"/>
      <c r="S272"/>
      <c r="T272"/>
      <c r="U272" s="84"/>
      <c r="W272" s="84"/>
      <c r="X272" s="84"/>
      <c r="Z272"/>
      <c r="AB272" s="84"/>
      <c r="AD272" s="83"/>
      <c r="AE272" s="83"/>
      <c r="AF272" s="83"/>
    </row>
    <row r="273" spans="1:32" x14ac:dyDescent="0.25">
      <c r="A273"/>
      <c r="B273" s="82"/>
      <c r="R273"/>
      <c r="S273"/>
      <c r="T273"/>
      <c r="U273" s="84"/>
      <c r="W273" s="84"/>
      <c r="X273" s="84"/>
      <c r="Z273"/>
      <c r="AB273" s="84"/>
      <c r="AD273" s="83"/>
      <c r="AE273" s="83"/>
      <c r="AF273" s="83"/>
    </row>
    <row r="274" spans="1:32" x14ac:dyDescent="0.25">
      <c r="A274"/>
      <c r="B274" s="82"/>
      <c r="R274"/>
      <c r="S274"/>
      <c r="T274"/>
      <c r="U274" s="84"/>
      <c r="W274" s="84"/>
      <c r="X274" s="84"/>
      <c r="Z274"/>
      <c r="AB274" s="84"/>
      <c r="AD274" s="83"/>
      <c r="AE274" s="83"/>
      <c r="AF274" s="83"/>
    </row>
    <row r="275" spans="1:32" x14ac:dyDescent="0.25">
      <c r="A275"/>
      <c r="B275" s="82"/>
      <c r="R275"/>
      <c r="S275"/>
      <c r="T275"/>
      <c r="U275" s="84"/>
      <c r="W275" s="84"/>
      <c r="X275" s="84"/>
      <c r="Z275"/>
      <c r="AB275" s="84"/>
      <c r="AD275" s="83"/>
      <c r="AE275" s="83"/>
      <c r="AF275" s="83"/>
    </row>
    <row r="276" spans="1:32" x14ac:dyDescent="0.25">
      <c r="A276"/>
      <c r="B276" s="82"/>
      <c r="R276"/>
      <c r="S276"/>
      <c r="T276"/>
      <c r="U276" s="84"/>
      <c r="W276" s="84"/>
      <c r="X276" s="84"/>
      <c r="Z276"/>
      <c r="AB276" s="84"/>
      <c r="AD276" s="83"/>
      <c r="AE276" s="83"/>
      <c r="AF276" s="83"/>
    </row>
    <row r="277" spans="1:32" x14ac:dyDescent="0.25">
      <c r="A277"/>
      <c r="B277" s="82"/>
      <c r="R277"/>
      <c r="S277"/>
      <c r="T277"/>
      <c r="U277" s="84"/>
      <c r="W277" s="84"/>
      <c r="X277" s="84"/>
      <c r="Z277"/>
      <c r="AB277" s="84"/>
      <c r="AD277" s="83"/>
      <c r="AE277" s="83"/>
      <c r="AF277" s="83"/>
    </row>
    <row r="278" spans="1:32" x14ac:dyDescent="0.25">
      <c r="A278"/>
      <c r="B278" s="82"/>
      <c r="R278"/>
      <c r="S278"/>
      <c r="T278"/>
      <c r="U278" s="84"/>
      <c r="W278" s="84"/>
      <c r="X278" s="84"/>
      <c r="Z278"/>
      <c r="AB278" s="84"/>
      <c r="AD278" s="83"/>
      <c r="AE278" s="83"/>
      <c r="AF278" s="83"/>
    </row>
    <row r="279" spans="1:32" x14ac:dyDescent="0.25">
      <c r="A279"/>
      <c r="B279" s="82"/>
      <c r="R279"/>
      <c r="S279"/>
      <c r="T279"/>
      <c r="U279" s="84"/>
      <c r="W279" s="84"/>
      <c r="X279" s="84"/>
      <c r="Z279"/>
      <c r="AB279" s="84"/>
      <c r="AD279" s="83"/>
      <c r="AE279" s="83"/>
      <c r="AF279" s="83"/>
    </row>
    <row r="280" spans="1:32" x14ac:dyDescent="0.25">
      <c r="A280"/>
      <c r="B280" s="82"/>
      <c r="R280"/>
      <c r="S280"/>
      <c r="T280"/>
      <c r="U280" s="84"/>
      <c r="W280" s="84"/>
      <c r="X280" s="84"/>
      <c r="Z280"/>
      <c r="AB280" s="84"/>
      <c r="AD280" s="83"/>
      <c r="AE280" s="83"/>
      <c r="AF280" s="83"/>
    </row>
    <row r="281" spans="1:32" x14ac:dyDescent="0.25">
      <c r="A281"/>
      <c r="B281" s="82"/>
      <c r="R281"/>
      <c r="S281"/>
      <c r="T281"/>
      <c r="U281" s="84"/>
      <c r="W281" s="84"/>
      <c r="X281" s="84"/>
      <c r="Z281"/>
      <c r="AB281" s="84"/>
      <c r="AD281" s="83"/>
      <c r="AE281" s="83"/>
      <c r="AF281" s="83"/>
    </row>
    <row r="282" spans="1:32" x14ac:dyDescent="0.25">
      <c r="A282"/>
      <c r="B282" s="82"/>
      <c r="R282"/>
      <c r="S282"/>
      <c r="T282"/>
      <c r="U282" s="84"/>
      <c r="W282" s="84"/>
      <c r="X282" s="84"/>
      <c r="Z282"/>
      <c r="AB282" s="84"/>
      <c r="AD282" s="83"/>
      <c r="AE282" s="83"/>
      <c r="AF282" s="83"/>
    </row>
    <row r="283" spans="1:32" x14ac:dyDescent="0.25">
      <c r="A283"/>
      <c r="B283" s="82"/>
      <c r="R283"/>
      <c r="S283"/>
      <c r="T283"/>
      <c r="U283" s="84"/>
      <c r="W283" s="84"/>
      <c r="X283" s="84"/>
      <c r="Z283"/>
      <c r="AB283" s="84"/>
      <c r="AD283" s="83"/>
      <c r="AE283" s="83"/>
      <c r="AF283" s="83"/>
    </row>
    <row r="284" spans="1:32" x14ac:dyDescent="0.25">
      <c r="A284"/>
      <c r="B284" s="82"/>
      <c r="R284"/>
      <c r="S284"/>
      <c r="T284"/>
      <c r="U284" s="84"/>
      <c r="W284" s="84"/>
      <c r="X284" s="84"/>
      <c r="Z284"/>
      <c r="AB284" s="84"/>
      <c r="AD284" s="83"/>
      <c r="AE284" s="83"/>
      <c r="AF284" s="83"/>
    </row>
    <row r="285" spans="1:32" x14ac:dyDescent="0.25">
      <c r="A285"/>
      <c r="B285" s="82"/>
      <c r="R285"/>
      <c r="S285"/>
      <c r="T285"/>
      <c r="U285" s="84"/>
      <c r="W285" s="84"/>
      <c r="X285" s="84"/>
      <c r="Z285"/>
      <c r="AB285" s="84"/>
      <c r="AD285" s="83"/>
      <c r="AE285" s="83"/>
      <c r="AF285" s="83"/>
    </row>
    <row r="286" spans="1:32" x14ac:dyDescent="0.25">
      <c r="A286"/>
      <c r="B286" s="82"/>
      <c r="R286"/>
      <c r="S286"/>
      <c r="T286"/>
      <c r="U286" s="84"/>
      <c r="W286" s="84"/>
      <c r="X286" s="84"/>
      <c r="Z286"/>
      <c r="AB286" s="84"/>
      <c r="AD286" s="83"/>
      <c r="AE286" s="83"/>
      <c r="AF286" s="83"/>
    </row>
    <row r="287" spans="1:32" x14ac:dyDescent="0.25">
      <c r="A287"/>
      <c r="B287" s="82"/>
      <c r="R287"/>
      <c r="S287"/>
      <c r="T287"/>
      <c r="U287" s="84"/>
      <c r="W287" s="84"/>
      <c r="X287" s="84"/>
      <c r="Z287"/>
      <c r="AB287" s="84"/>
      <c r="AD287" s="83"/>
      <c r="AE287" s="83"/>
      <c r="AF287" s="83"/>
    </row>
    <row r="288" spans="1:32" x14ac:dyDescent="0.25">
      <c r="A288"/>
      <c r="B288" s="82"/>
      <c r="R288"/>
      <c r="S288"/>
      <c r="T288"/>
      <c r="U288" s="84"/>
      <c r="W288" s="84"/>
      <c r="X288" s="84"/>
      <c r="Z288"/>
      <c r="AB288" s="84"/>
      <c r="AD288" s="83"/>
      <c r="AE288" s="83"/>
      <c r="AF288" s="83"/>
    </row>
    <row r="289" spans="1:32" x14ac:dyDescent="0.25">
      <c r="A289"/>
      <c r="B289" s="82"/>
      <c r="R289"/>
      <c r="S289"/>
      <c r="T289"/>
      <c r="U289" s="84"/>
      <c r="W289" s="84"/>
      <c r="X289" s="84"/>
      <c r="Z289"/>
      <c r="AB289" s="84"/>
      <c r="AD289" s="83"/>
      <c r="AE289" s="83"/>
      <c r="AF289" s="83"/>
    </row>
    <row r="290" spans="1:32" x14ac:dyDescent="0.25">
      <c r="A290"/>
      <c r="B290" s="82"/>
      <c r="R290"/>
      <c r="S290"/>
      <c r="T290"/>
      <c r="U290" s="84"/>
      <c r="W290" s="84"/>
      <c r="X290" s="84"/>
      <c r="Z290"/>
      <c r="AB290" s="84"/>
      <c r="AD290" s="83"/>
      <c r="AE290" s="83"/>
      <c r="AF290" s="83"/>
    </row>
    <row r="291" spans="1:32" x14ac:dyDescent="0.25">
      <c r="A291"/>
      <c r="B291" s="82"/>
      <c r="R291"/>
      <c r="S291"/>
      <c r="T291"/>
      <c r="U291" s="84"/>
      <c r="W291" s="84"/>
      <c r="X291" s="84"/>
      <c r="Z291"/>
      <c r="AB291" s="84"/>
      <c r="AD291" s="83"/>
      <c r="AE291" s="83"/>
      <c r="AF291" s="83"/>
    </row>
    <row r="292" spans="1:32" x14ac:dyDescent="0.25">
      <c r="B292" s="82"/>
      <c r="R292"/>
      <c r="S292"/>
      <c r="T292"/>
      <c r="U292" s="84"/>
      <c r="W292" s="84"/>
      <c r="X292" s="84"/>
      <c r="Z292"/>
      <c r="AB292" s="84"/>
      <c r="AD292" s="83"/>
      <c r="AE292" s="83"/>
      <c r="AF292" s="83"/>
    </row>
    <row r="293" spans="1:32" x14ac:dyDescent="0.25">
      <c r="B293" s="82"/>
      <c r="R293"/>
      <c r="S293"/>
      <c r="T293"/>
      <c r="U293" s="84"/>
      <c r="W293" s="84"/>
      <c r="X293" s="84"/>
      <c r="Z293"/>
      <c r="AB293" s="84"/>
      <c r="AD293" s="83"/>
      <c r="AE293" s="83"/>
      <c r="AF293" s="83"/>
    </row>
    <row r="294" spans="1:32" x14ac:dyDescent="0.25">
      <c r="B294" s="82"/>
      <c r="R294"/>
      <c r="S294"/>
      <c r="T294"/>
      <c r="U294" s="84"/>
      <c r="W294" s="84"/>
      <c r="X294" s="84"/>
      <c r="Z294"/>
      <c r="AB294" s="84"/>
      <c r="AD294" s="83"/>
      <c r="AE294" s="83"/>
      <c r="AF294" s="83"/>
    </row>
    <row r="295" spans="1:32" x14ac:dyDescent="0.25">
      <c r="B295" s="82"/>
      <c r="R295"/>
      <c r="S295"/>
      <c r="T295"/>
      <c r="U295" s="84"/>
      <c r="W295" s="84"/>
      <c r="X295" s="84"/>
      <c r="Z295"/>
      <c r="AB295" s="84"/>
      <c r="AD295" s="83"/>
      <c r="AE295" s="83"/>
      <c r="AF295" s="83"/>
    </row>
    <row r="296" spans="1:32" x14ac:dyDescent="0.25">
      <c r="B296" s="82"/>
      <c r="R296"/>
      <c r="S296"/>
      <c r="T296"/>
      <c r="U296" s="84"/>
      <c r="W296" s="84"/>
      <c r="X296" s="84"/>
      <c r="Z296"/>
      <c r="AB296" s="84"/>
      <c r="AD296" s="83"/>
      <c r="AE296" s="83"/>
      <c r="AF296" s="83"/>
    </row>
    <row r="297" spans="1:32" x14ac:dyDescent="0.25">
      <c r="B297" s="82"/>
      <c r="R297"/>
      <c r="S297"/>
      <c r="T297"/>
      <c r="U297" s="84"/>
      <c r="W297" s="84"/>
      <c r="X297" s="84"/>
      <c r="Z297"/>
      <c r="AB297" s="84"/>
      <c r="AD297" s="83"/>
      <c r="AE297" s="83"/>
      <c r="AF297" s="83"/>
    </row>
    <row r="298" spans="1:32" x14ac:dyDescent="0.25">
      <c r="B298" s="82"/>
      <c r="R298"/>
      <c r="S298"/>
      <c r="T298"/>
      <c r="U298" s="84"/>
      <c r="W298" s="84"/>
      <c r="X298" s="84"/>
      <c r="Z298"/>
      <c r="AB298" s="84"/>
      <c r="AD298" s="83"/>
      <c r="AE298" s="83"/>
      <c r="AF298" s="83"/>
    </row>
    <row r="299" spans="1:32" x14ac:dyDescent="0.25">
      <c r="B299" s="82"/>
      <c r="R299"/>
      <c r="S299"/>
      <c r="T299"/>
      <c r="U299" s="84"/>
      <c r="W299" s="84"/>
      <c r="X299" s="84"/>
      <c r="Z299"/>
      <c r="AB299" s="84"/>
      <c r="AD299" s="83"/>
      <c r="AE299" s="83"/>
      <c r="AF299" s="83"/>
    </row>
    <row r="300" spans="1:32" x14ac:dyDescent="0.25">
      <c r="B300" s="82"/>
      <c r="R300"/>
      <c r="S300"/>
      <c r="T300"/>
      <c r="U300" s="84"/>
      <c r="W300" s="84"/>
      <c r="X300" s="84"/>
      <c r="Z300"/>
      <c r="AB300" s="84"/>
      <c r="AD300" s="83"/>
      <c r="AE300" s="83"/>
      <c r="AF300" s="83"/>
    </row>
    <row r="301" spans="1:32" x14ac:dyDescent="0.25">
      <c r="B301" s="82"/>
      <c r="R301"/>
      <c r="S301"/>
      <c r="T301"/>
      <c r="U301" s="84"/>
      <c r="W301" s="84"/>
      <c r="X301" s="84"/>
      <c r="Z301"/>
      <c r="AB301" s="84"/>
      <c r="AD301" s="83"/>
      <c r="AE301" s="83"/>
      <c r="AF301" s="83"/>
    </row>
    <row r="302" spans="1:32" x14ac:dyDescent="0.25">
      <c r="B302" s="82"/>
      <c r="R302"/>
      <c r="S302"/>
      <c r="T302"/>
      <c r="U302" s="84"/>
      <c r="W302" s="84"/>
      <c r="X302" s="84"/>
      <c r="Z302"/>
      <c r="AB302" s="84"/>
      <c r="AD302" s="83"/>
      <c r="AE302" s="83"/>
      <c r="AF302" s="83"/>
    </row>
    <row r="303" spans="1:32" x14ac:dyDescent="0.25">
      <c r="B303" s="82"/>
      <c r="R303"/>
      <c r="S303"/>
      <c r="T303"/>
      <c r="U303" s="84"/>
      <c r="W303" s="84"/>
      <c r="X303" s="84"/>
      <c r="Z303"/>
      <c r="AB303" s="84"/>
      <c r="AD303" s="83"/>
      <c r="AE303" s="83"/>
      <c r="AF303" s="83"/>
    </row>
    <row r="304" spans="1:32" x14ac:dyDescent="0.25">
      <c r="B304" s="82"/>
      <c r="R304"/>
      <c r="S304"/>
      <c r="T304"/>
      <c r="U304" s="84"/>
      <c r="W304" s="84"/>
      <c r="X304" s="84"/>
      <c r="Z304"/>
      <c r="AB304" s="84"/>
      <c r="AD304" s="83"/>
      <c r="AE304" s="83"/>
      <c r="AF304" s="83"/>
    </row>
    <row r="305" spans="2:32" x14ac:dyDescent="0.25">
      <c r="B305" s="82"/>
      <c r="R305"/>
      <c r="S305"/>
      <c r="T305"/>
      <c r="U305" s="84"/>
      <c r="W305" s="84"/>
      <c r="X305" s="84"/>
      <c r="Z305"/>
      <c r="AB305" s="84"/>
      <c r="AD305" s="83"/>
      <c r="AE305" s="83"/>
      <c r="AF305" s="83"/>
    </row>
    <row r="306" spans="2:32" x14ac:dyDescent="0.25">
      <c r="B306" s="82"/>
      <c r="R306"/>
      <c r="S306"/>
      <c r="T306"/>
      <c r="U306" s="84"/>
      <c r="W306" s="84"/>
      <c r="X306" s="84"/>
      <c r="Z306"/>
      <c r="AB306" s="84"/>
      <c r="AD306" s="83"/>
      <c r="AE306" s="83"/>
      <c r="AF306" s="83"/>
    </row>
    <row r="307" spans="2:32" x14ac:dyDescent="0.25">
      <c r="B307" s="82"/>
      <c r="R307"/>
      <c r="S307"/>
      <c r="T307"/>
      <c r="U307" s="84"/>
      <c r="W307" s="84"/>
      <c r="X307" s="84"/>
      <c r="Z307"/>
      <c r="AB307" s="84"/>
      <c r="AD307" s="83"/>
      <c r="AE307" s="83"/>
      <c r="AF307" s="83"/>
    </row>
    <row r="308" spans="2:32" x14ac:dyDescent="0.25">
      <c r="B308" s="82"/>
      <c r="R308"/>
      <c r="S308"/>
      <c r="T308"/>
      <c r="U308" s="84"/>
      <c r="W308" s="84"/>
      <c r="X308" s="84"/>
      <c r="Z308"/>
      <c r="AB308" s="84"/>
      <c r="AD308" s="83"/>
      <c r="AE308" s="83"/>
      <c r="AF308" s="83"/>
    </row>
    <row r="309" spans="2:32" x14ac:dyDescent="0.25">
      <c r="B309" s="82"/>
      <c r="R309"/>
      <c r="S309"/>
      <c r="T309"/>
      <c r="U309" s="84"/>
      <c r="W309" s="84"/>
      <c r="X309" s="84"/>
      <c r="Z309"/>
      <c r="AB309" s="84"/>
      <c r="AD309" s="83"/>
      <c r="AE309" s="83"/>
      <c r="AF309" s="83"/>
    </row>
    <row r="310" spans="2:32" x14ac:dyDescent="0.25">
      <c r="B310" s="82"/>
      <c r="R310"/>
      <c r="S310"/>
      <c r="T310"/>
      <c r="U310" s="84"/>
      <c r="W310" s="84"/>
      <c r="X310" s="84"/>
      <c r="Z310"/>
      <c r="AB310" s="84"/>
      <c r="AD310" s="83"/>
      <c r="AE310" s="83"/>
      <c r="AF310" s="83"/>
    </row>
    <row r="311" spans="2:32" x14ac:dyDescent="0.25">
      <c r="B311" s="82"/>
      <c r="R311"/>
      <c r="S311"/>
      <c r="T311"/>
      <c r="U311" s="84"/>
      <c r="W311" s="84"/>
      <c r="X311" s="84"/>
      <c r="Z311"/>
      <c r="AB311" s="84"/>
      <c r="AD311" s="83"/>
      <c r="AE311" s="83"/>
      <c r="AF311" s="83"/>
    </row>
    <row r="312" spans="2:32" x14ac:dyDescent="0.25">
      <c r="B312" s="82"/>
      <c r="R312"/>
      <c r="S312"/>
      <c r="T312"/>
      <c r="U312" s="84"/>
      <c r="W312" s="84"/>
      <c r="X312" s="84"/>
      <c r="Z312"/>
      <c r="AB312" s="84"/>
      <c r="AD312" s="83"/>
      <c r="AE312" s="83"/>
      <c r="AF312" s="83"/>
    </row>
    <row r="313" spans="2:32" x14ac:dyDescent="0.25">
      <c r="B313" s="82"/>
      <c r="R313"/>
      <c r="S313"/>
      <c r="T313"/>
      <c r="U313" s="84"/>
      <c r="W313" s="84"/>
      <c r="X313" s="84"/>
      <c r="Z313"/>
      <c r="AB313" s="84"/>
      <c r="AD313" s="83"/>
      <c r="AE313" s="83"/>
      <c r="AF313" s="83"/>
    </row>
    <row r="314" spans="2:32" x14ac:dyDescent="0.25">
      <c r="B314" s="82"/>
      <c r="R314"/>
      <c r="S314"/>
      <c r="T314"/>
      <c r="U314" s="84"/>
      <c r="W314" s="84"/>
      <c r="X314" s="84"/>
      <c r="Z314"/>
      <c r="AB314" s="84"/>
      <c r="AD314" s="83"/>
      <c r="AE314" s="83"/>
      <c r="AF314" s="83"/>
    </row>
    <row r="315" spans="2:32" x14ac:dyDescent="0.25">
      <c r="B315" s="82"/>
      <c r="R315"/>
      <c r="S315"/>
      <c r="T315"/>
      <c r="U315" s="84"/>
      <c r="W315" s="84"/>
      <c r="X315" s="84"/>
      <c r="Z315"/>
      <c r="AB315" s="84"/>
      <c r="AD315" s="83"/>
      <c r="AE315" s="83"/>
      <c r="AF315" s="83"/>
    </row>
    <row r="316" spans="2:32" x14ac:dyDescent="0.25">
      <c r="B316" s="82"/>
      <c r="R316"/>
      <c r="S316"/>
      <c r="T316"/>
      <c r="U316" s="84"/>
      <c r="W316" s="84"/>
      <c r="X316" s="84"/>
      <c r="Z316"/>
      <c r="AB316" s="84"/>
      <c r="AD316" s="83"/>
      <c r="AE316" s="83"/>
      <c r="AF316" s="83"/>
    </row>
    <row r="317" spans="2:32" x14ac:dyDescent="0.25">
      <c r="B317" s="82"/>
      <c r="R317"/>
      <c r="S317"/>
      <c r="T317"/>
      <c r="U317" s="84"/>
      <c r="W317" s="84"/>
      <c r="X317" s="84"/>
      <c r="Z317"/>
      <c r="AB317" s="84"/>
      <c r="AD317" s="83"/>
      <c r="AE317" s="83"/>
      <c r="AF317" s="83"/>
    </row>
    <row r="318" spans="2:32" x14ac:dyDescent="0.25">
      <c r="B318" s="82"/>
      <c r="R318"/>
      <c r="S318"/>
      <c r="T318"/>
      <c r="U318" s="84"/>
      <c r="W318" s="84"/>
      <c r="X318" s="84"/>
      <c r="Z318"/>
      <c r="AB318" s="84"/>
      <c r="AD318" s="83"/>
      <c r="AE318" s="83"/>
      <c r="AF318" s="83"/>
    </row>
    <row r="319" spans="2:32" x14ac:dyDescent="0.25">
      <c r="B319" s="82"/>
      <c r="R319"/>
      <c r="S319"/>
      <c r="T319"/>
      <c r="U319" s="84"/>
      <c r="W319" s="84"/>
      <c r="X319" s="84"/>
      <c r="Z319"/>
      <c r="AB319" s="84"/>
      <c r="AD319" s="83"/>
      <c r="AE319" s="83"/>
      <c r="AF319" s="83"/>
    </row>
    <row r="320" spans="2:32" x14ac:dyDescent="0.25">
      <c r="B320" s="82"/>
      <c r="R320"/>
      <c r="S320"/>
      <c r="T320"/>
      <c r="U320" s="84"/>
      <c r="W320" s="84"/>
      <c r="X320" s="84"/>
      <c r="Z320"/>
      <c r="AB320" s="84"/>
      <c r="AD320" s="83"/>
      <c r="AE320" s="83"/>
      <c r="AF320" s="83"/>
    </row>
    <row r="321" spans="2:32" x14ac:dyDescent="0.25">
      <c r="B321" s="82"/>
      <c r="R321"/>
      <c r="S321"/>
      <c r="T321"/>
      <c r="U321" s="84"/>
      <c r="W321" s="84"/>
      <c r="X321" s="84"/>
      <c r="Z321"/>
      <c r="AB321" s="84"/>
      <c r="AD321" s="83"/>
      <c r="AE321" s="83"/>
      <c r="AF321" s="83"/>
    </row>
    <row r="322" spans="2:32" x14ac:dyDescent="0.25">
      <c r="B322" s="82"/>
      <c r="R322"/>
      <c r="S322"/>
      <c r="T322"/>
      <c r="U322" s="84"/>
      <c r="W322" s="84"/>
      <c r="X322" s="84"/>
      <c r="Z322"/>
      <c r="AB322" s="84"/>
      <c r="AD322" s="83"/>
      <c r="AE322" s="83"/>
      <c r="AF322" s="83"/>
    </row>
    <row r="323" spans="2:32" x14ac:dyDescent="0.25">
      <c r="B323" s="82"/>
      <c r="R323"/>
      <c r="S323"/>
      <c r="T323"/>
      <c r="U323" s="84"/>
      <c r="W323" s="84"/>
      <c r="X323" s="84"/>
      <c r="Z323"/>
      <c r="AB323" s="84"/>
      <c r="AD323" s="83"/>
      <c r="AE323" s="83"/>
      <c r="AF323" s="83"/>
    </row>
    <row r="324" spans="2:32" x14ac:dyDescent="0.25">
      <c r="B324" s="82"/>
      <c r="R324"/>
      <c r="S324"/>
      <c r="T324"/>
      <c r="U324" s="84"/>
      <c r="W324" s="84"/>
      <c r="X324" s="84"/>
      <c r="Z324"/>
      <c r="AB324" s="84"/>
      <c r="AD324" s="83"/>
      <c r="AE324" s="83"/>
      <c r="AF324" s="83"/>
    </row>
    <row r="325" spans="2:32" x14ac:dyDescent="0.25">
      <c r="B325" s="82"/>
      <c r="R325"/>
      <c r="S325"/>
      <c r="T325"/>
      <c r="U325" s="84"/>
      <c r="W325" s="84"/>
      <c r="X325" s="84"/>
      <c r="Z325"/>
      <c r="AB325" s="84"/>
      <c r="AD325" s="83"/>
      <c r="AE325" s="83"/>
      <c r="AF325" s="83"/>
    </row>
    <row r="326" spans="2:32" x14ac:dyDescent="0.25">
      <c r="B326" s="82"/>
      <c r="R326"/>
      <c r="S326"/>
      <c r="T326"/>
      <c r="U326" s="84"/>
      <c r="W326" s="84"/>
      <c r="X326" s="84"/>
      <c r="Z326"/>
      <c r="AB326" s="84"/>
      <c r="AD326" s="83"/>
      <c r="AE326" s="83"/>
      <c r="AF326" s="83"/>
    </row>
    <row r="327" spans="2:32" x14ac:dyDescent="0.25">
      <c r="B327" s="82"/>
      <c r="R327"/>
      <c r="S327"/>
      <c r="T327"/>
      <c r="U327" s="84"/>
      <c r="W327" s="84"/>
      <c r="X327" s="84"/>
      <c r="Z327"/>
      <c r="AB327" s="84"/>
      <c r="AD327" s="83"/>
      <c r="AE327" s="83"/>
      <c r="AF327" s="83"/>
    </row>
    <row r="328" spans="2:32" x14ac:dyDescent="0.25">
      <c r="B328" s="82"/>
      <c r="R328"/>
      <c r="S328"/>
      <c r="T328"/>
      <c r="U328" s="84"/>
      <c r="W328" s="84"/>
      <c r="X328" s="84"/>
      <c r="Z328"/>
      <c r="AB328" s="84"/>
      <c r="AD328" s="83"/>
      <c r="AE328" s="83"/>
      <c r="AF328" s="83"/>
    </row>
    <row r="329" spans="2:32" x14ac:dyDescent="0.25">
      <c r="B329" s="82"/>
      <c r="R329"/>
      <c r="S329"/>
      <c r="T329"/>
      <c r="U329" s="84"/>
      <c r="W329" s="84"/>
      <c r="X329" s="84"/>
      <c r="Z329"/>
      <c r="AB329" s="84"/>
      <c r="AD329" s="83"/>
      <c r="AE329" s="83"/>
      <c r="AF329" s="83"/>
    </row>
    <row r="330" spans="2:32" x14ac:dyDescent="0.25">
      <c r="B330" s="82"/>
      <c r="R330"/>
      <c r="S330"/>
      <c r="T330"/>
      <c r="U330" s="84"/>
      <c r="W330" s="84"/>
      <c r="X330" s="84"/>
      <c r="Z330"/>
      <c r="AB330" s="84"/>
      <c r="AD330" s="83"/>
      <c r="AE330" s="83"/>
      <c r="AF330" s="83"/>
    </row>
    <row r="331" spans="2:32" x14ac:dyDescent="0.25">
      <c r="B331" s="82"/>
      <c r="R331"/>
      <c r="S331"/>
      <c r="T331"/>
      <c r="U331" s="84"/>
      <c r="W331" s="84"/>
      <c r="X331" s="84"/>
      <c r="Z331"/>
      <c r="AB331" s="84"/>
      <c r="AD331" s="83"/>
      <c r="AE331" s="83"/>
      <c r="AF331" s="83"/>
    </row>
    <row r="332" spans="2:32" x14ac:dyDescent="0.25">
      <c r="B332" s="82"/>
      <c r="R332"/>
      <c r="S332"/>
      <c r="T332"/>
      <c r="U332" s="84"/>
      <c r="W332" s="84"/>
      <c r="X332" s="84"/>
      <c r="Z332"/>
      <c r="AB332" s="84"/>
      <c r="AD332" s="83"/>
      <c r="AE332" s="83"/>
      <c r="AF332" s="83"/>
    </row>
    <row r="333" spans="2:32" x14ac:dyDescent="0.25">
      <c r="B333" s="82"/>
      <c r="R333"/>
      <c r="S333"/>
      <c r="T333"/>
      <c r="U333" s="84"/>
      <c r="W333" s="84"/>
      <c r="X333" s="84"/>
      <c r="Z333"/>
      <c r="AB333" s="84"/>
      <c r="AD333" s="83"/>
      <c r="AE333" s="83"/>
      <c r="AF333" s="83"/>
    </row>
    <row r="334" spans="2:32" x14ac:dyDescent="0.25">
      <c r="B334" s="82"/>
      <c r="R334"/>
      <c r="S334"/>
      <c r="T334"/>
      <c r="U334" s="84"/>
      <c r="W334" s="84"/>
      <c r="X334" s="84"/>
      <c r="Z334"/>
      <c r="AB334" s="84"/>
      <c r="AD334" s="83"/>
      <c r="AE334" s="83"/>
      <c r="AF334" s="83"/>
    </row>
    <row r="335" spans="2:32" x14ac:dyDescent="0.25">
      <c r="B335" s="82"/>
      <c r="R335"/>
      <c r="S335"/>
      <c r="T335"/>
      <c r="U335" s="84"/>
      <c r="W335" s="84"/>
      <c r="X335" s="84"/>
      <c r="Z335"/>
      <c r="AB335" s="84"/>
      <c r="AD335" s="83"/>
      <c r="AE335" s="83"/>
      <c r="AF335" s="83"/>
    </row>
    <row r="336" spans="2:32" x14ac:dyDescent="0.25">
      <c r="B336" s="82"/>
      <c r="R336"/>
      <c r="S336"/>
      <c r="T336"/>
      <c r="U336" s="84"/>
      <c r="W336" s="84"/>
      <c r="X336" s="84"/>
      <c r="Z336"/>
      <c r="AB336" s="84"/>
      <c r="AD336" s="83"/>
      <c r="AE336" s="83"/>
      <c r="AF336" s="83"/>
    </row>
    <row r="337" spans="2:32" x14ac:dyDescent="0.25">
      <c r="B337" s="82"/>
      <c r="R337"/>
      <c r="S337"/>
      <c r="T337"/>
      <c r="U337" s="84"/>
      <c r="W337" s="84"/>
      <c r="X337" s="84"/>
      <c r="Z337"/>
      <c r="AB337" s="84"/>
      <c r="AD337" s="83"/>
      <c r="AE337" s="83"/>
      <c r="AF337" s="83"/>
    </row>
    <row r="338" spans="2:32" x14ac:dyDescent="0.25">
      <c r="B338" s="82"/>
      <c r="R338"/>
      <c r="S338"/>
      <c r="T338"/>
      <c r="U338" s="84"/>
      <c r="W338" s="84"/>
      <c r="X338" s="84"/>
      <c r="Z338"/>
      <c r="AB338" s="84"/>
      <c r="AD338" s="83"/>
      <c r="AE338" s="83"/>
      <c r="AF338" s="83"/>
    </row>
    <row r="339" spans="2:32" x14ac:dyDescent="0.25">
      <c r="B339" s="82"/>
      <c r="R339"/>
      <c r="S339"/>
      <c r="T339"/>
      <c r="U339" s="84"/>
      <c r="W339" s="84"/>
      <c r="X339" s="84"/>
      <c r="Z339"/>
      <c r="AB339" s="84"/>
      <c r="AD339" s="83"/>
      <c r="AE339" s="83"/>
      <c r="AF339" s="83"/>
    </row>
    <row r="340" spans="2:32" x14ac:dyDescent="0.25">
      <c r="B340" s="82"/>
      <c r="R340"/>
      <c r="S340"/>
      <c r="T340"/>
      <c r="U340" s="84"/>
      <c r="W340" s="84"/>
      <c r="X340" s="84"/>
      <c r="Z340"/>
      <c r="AB340" s="84"/>
      <c r="AD340" s="83"/>
      <c r="AE340" s="83"/>
      <c r="AF340" s="83"/>
    </row>
    <row r="341" spans="2:32" x14ac:dyDescent="0.25">
      <c r="B341" s="82"/>
      <c r="R341"/>
      <c r="S341"/>
      <c r="T341"/>
      <c r="U341" s="84"/>
      <c r="W341" s="84"/>
      <c r="X341" s="84"/>
      <c r="Z341"/>
      <c r="AB341" s="84"/>
      <c r="AD341" s="83"/>
      <c r="AE341" s="83"/>
      <c r="AF341" s="83"/>
    </row>
    <row r="342" spans="2:32" x14ac:dyDescent="0.25">
      <c r="B342" s="82"/>
      <c r="R342"/>
      <c r="S342"/>
      <c r="T342"/>
      <c r="U342" s="84"/>
      <c r="W342" s="84"/>
      <c r="X342" s="84"/>
      <c r="Z342"/>
      <c r="AB342" s="84"/>
      <c r="AD342" s="83"/>
      <c r="AE342" s="83"/>
      <c r="AF342" s="83"/>
    </row>
    <row r="343" spans="2:32" x14ac:dyDescent="0.25">
      <c r="B343" s="82"/>
      <c r="R343"/>
      <c r="S343"/>
      <c r="T343"/>
      <c r="U343" s="84"/>
      <c r="W343" s="84"/>
      <c r="X343" s="84"/>
      <c r="Z343"/>
      <c r="AB343" s="84"/>
      <c r="AD343" s="83"/>
      <c r="AE343" s="83"/>
      <c r="AF343" s="83"/>
    </row>
    <row r="344" spans="2:32" x14ac:dyDescent="0.25">
      <c r="B344" s="82"/>
      <c r="R344"/>
      <c r="S344"/>
      <c r="T344"/>
      <c r="U344" s="84"/>
      <c r="W344" s="84"/>
      <c r="X344" s="84"/>
      <c r="Z344"/>
      <c r="AB344" s="84"/>
      <c r="AD344" s="83"/>
      <c r="AE344" s="83"/>
      <c r="AF344" s="83"/>
    </row>
    <row r="345" spans="2:32" x14ac:dyDescent="0.25">
      <c r="B345" s="82"/>
      <c r="R345"/>
      <c r="S345"/>
      <c r="T345"/>
      <c r="U345" s="84"/>
      <c r="W345" s="84"/>
      <c r="X345" s="84"/>
      <c r="Z345"/>
      <c r="AB345" s="84"/>
      <c r="AD345" s="83"/>
      <c r="AE345" s="83"/>
      <c r="AF345" s="83"/>
    </row>
    <row r="346" spans="2:32" x14ac:dyDescent="0.25">
      <c r="B346" s="82"/>
      <c r="R346"/>
      <c r="S346"/>
      <c r="T346"/>
      <c r="U346" s="84"/>
      <c r="W346" s="84"/>
      <c r="X346" s="84"/>
      <c r="Z346"/>
      <c r="AB346" s="84"/>
      <c r="AD346" s="83"/>
      <c r="AE346" s="83"/>
      <c r="AF346" s="83"/>
    </row>
    <row r="347" spans="2:32" x14ac:dyDescent="0.25">
      <c r="B347" s="82"/>
      <c r="R347"/>
      <c r="S347"/>
      <c r="T347"/>
      <c r="U347" s="84"/>
      <c r="W347" s="84"/>
      <c r="X347" s="84"/>
      <c r="Z347"/>
      <c r="AB347" s="84"/>
      <c r="AD347" s="83"/>
      <c r="AE347" s="83"/>
      <c r="AF347" s="83"/>
    </row>
    <row r="348" spans="2:32" x14ac:dyDescent="0.25">
      <c r="B348" s="82"/>
      <c r="R348"/>
      <c r="S348"/>
      <c r="T348"/>
      <c r="U348" s="84"/>
      <c r="W348" s="84"/>
      <c r="X348" s="84"/>
      <c r="Z348"/>
      <c r="AB348" s="84"/>
      <c r="AD348" s="83"/>
      <c r="AE348" s="83"/>
      <c r="AF348" s="83"/>
    </row>
    <row r="349" spans="2:32" x14ac:dyDescent="0.25">
      <c r="B349" s="82"/>
      <c r="R349"/>
      <c r="S349"/>
      <c r="T349"/>
      <c r="U349" s="84"/>
      <c r="W349" s="84"/>
      <c r="X349" s="84"/>
      <c r="Z349"/>
      <c r="AB349" s="84"/>
      <c r="AD349" s="83"/>
      <c r="AE349" s="83"/>
      <c r="AF349" s="83"/>
    </row>
    <row r="350" spans="2:32" x14ac:dyDescent="0.25">
      <c r="B350" s="82"/>
      <c r="R350"/>
      <c r="S350"/>
      <c r="T350"/>
      <c r="U350" s="84"/>
      <c r="W350" s="84"/>
      <c r="X350" s="84"/>
      <c r="Z350"/>
      <c r="AB350" s="84"/>
      <c r="AD350" s="83"/>
      <c r="AE350" s="83"/>
      <c r="AF350" s="83"/>
    </row>
    <row r="351" spans="2:32" x14ac:dyDescent="0.25">
      <c r="B351" s="82"/>
      <c r="R351"/>
      <c r="S351"/>
      <c r="T351"/>
      <c r="U351" s="84"/>
      <c r="W351" s="84"/>
      <c r="X351" s="84"/>
      <c r="Z351"/>
      <c r="AB351" s="84"/>
      <c r="AD351" s="83"/>
      <c r="AE351" s="83"/>
      <c r="AF351" s="83"/>
    </row>
    <row r="352" spans="2:32" x14ac:dyDescent="0.25">
      <c r="B352" s="82"/>
      <c r="R352"/>
      <c r="S352"/>
      <c r="T352"/>
      <c r="U352" s="84"/>
      <c r="W352" s="84"/>
      <c r="X352" s="84"/>
      <c r="Z352"/>
      <c r="AB352" s="84"/>
      <c r="AD352" s="83"/>
      <c r="AE352" s="83"/>
      <c r="AF352" s="83"/>
    </row>
    <row r="353" spans="2:32" x14ac:dyDescent="0.25">
      <c r="B353" s="82"/>
      <c r="R353"/>
      <c r="S353"/>
      <c r="T353"/>
      <c r="U353" s="84"/>
      <c r="W353" s="84"/>
      <c r="X353" s="84"/>
      <c r="Z353"/>
      <c r="AB353" s="84"/>
      <c r="AD353" s="83"/>
      <c r="AE353" s="83"/>
      <c r="AF353" s="83"/>
    </row>
    <row r="354" spans="2:32" x14ac:dyDescent="0.25">
      <c r="B354" s="82"/>
      <c r="R354"/>
      <c r="S354"/>
      <c r="T354"/>
      <c r="U354" s="84"/>
      <c r="W354" s="84"/>
      <c r="X354" s="84"/>
      <c r="Z354"/>
      <c r="AB354" s="84"/>
      <c r="AD354" s="83"/>
      <c r="AE354" s="83"/>
      <c r="AF354" s="83"/>
    </row>
    <row r="355" spans="2:32" x14ac:dyDescent="0.25">
      <c r="B355" s="82"/>
      <c r="R355"/>
      <c r="S355"/>
      <c r="T355"/>
      <c r="U355" s="84"/>
      <c r="W355" s="84"/>
      <c r="X355" s="84"/>
      <c r="Z355"/>
      <c r="AB355" s="84"/>
      <c r="AD355" s="83"/>
      <c r="AE355" s="83"/>
      <c r="AF355" s="83"/>
    </row>
    <row r="356" spans="2:32" x14ac:dyDescent="0.25">
      <c r="B356" s="82"/>
      <c r="R356"/>
      <c r="S356"/>
      <c r="T356"/>
      <c r="U356" s="84"/>
      <c r="W356" s="84"/>
      <c r="X356" s="84"/>
      <c r="Z356"/>
      <c r="AB356" s="84"/>
      <c r="AD356" s="83"/>
      <c r="AE356" s="83"/>
      <c r="AF356" s="83"/>
    </row>
    <row r="357" spans="2:32" x14ac:dyDescent="0.25">
      <c r="B357" s="82"/>
      <c r="R357"/>
      <c r="S357"/>
      <c r="T357"/>
      <c r="U357" s="84"/>
      <c r="W357" s="84"/>
      <c r="X357" s="84"/>
      <c r="Z357"/>
      <c r="AB357" s="84"/>
      <c r="AD357" s="83"/>
      <c r="AE357" s="83"/>
      <c r="AF357" s="83"/>
    </row>
    <row r="358" spans="2:32" x14ac:dyDescent="0.25">
      <c r="B358" s="82"/>
      <c r="R358"/>
      <c r="S358"/>
      <c r="T358"/>
      <c r="U358" s="84"/>
      <c r="W358" s="84"/>
      <c r="X358" s="84"/>
      <c r="Z358"/>
      <c r="AB358" s="84"/>
      <c r="AD358" s="83"/>
      <c r="AE358" s="83"/>
      <c r="AF358" s="83"/>
    </row>
    <row r="359" spans="2:32" x14ac:dyDescent="0.25">
      <c r="B359" s="82"/>
      <c r="R359"/>
      <c r="S359"/>
      <c r="T359"/>
      <c r="U359" s="84"/>
      <c r="W359" s="84"/>
      <c r="X359" s="84"/>
      <c r="Z359"/>
      <c r="AB359" s="84"/>
      <c r="AD359" s="83"/>
      <c r="AE359" s="83"/>
      <c r="AF359" s="83"/>
    </row>
    <row r="360" spans="2:32" x14ac:dyDescent="0.25">
      <c r="B360" s="82"/>
      <c r="R360"/>
      <c r="S360"/>
      <c r="T360"/>
      <c r="U360" s="84"/>
      <c r="W360" s="84"/>
      <c r="X360" s="84"/>
      <c r="Z360"/>
      <c r="AB360" s="84"/>
      <c r="AD360" s="83"/>
      <c r="AE360" s="83"/>
      <c r="AF360" s="83"/>
    </row>
    <row r="361" spans="2:32" x14ac:dyDescent="0.25">
      <c r="B361" s="82"/>
      <c r="R361"/>
      <c r="S361"/>
      <c r="T361"/>
      <c r="U361" s="84"/>
      <c r="W361" s="84"/>
      <c r="X361" s="84"/>
      <c r="Z361"/>
      <c r="AB361" s="84"/>
      <c r="AD361" s="83"/>
      <c r="AE361" s="83"/>
      <c r="AF361" s="83"/>
    </row>
    <row r="362" spans="2:32" x14ac:dyDescent="0.25">
      <c r="B362" s="82"/>
      <c r="R362"/>
      <c r="S362"/>
      <c r="T362"/>
      <c r="U362" s="84"/>
      <c r="W362" s="84"/>
      <c r="X362" s="84"/>
      <c r="Z362"/>
      <c r="AB362" s="84"/>
      <c r="AD362" s="83"/>
      <c r="AE362" s="83"/>
      <c r="AF362" s="83"/>
    </row>
    <row r="363" spans="2:32" x14ac:dyDescent="0.25">
      <c r="B363" s="82"/>
      <c r="R363"/>
      <c r="S363"/>
      <c r="T363"/>
      <c r="U363" s="84"/>
      <c r="W363" s="84"/>
      <c r="X363" s="84"/>
      <c r="Z363"/>
      <c r="AB363" s="84"/>
      <c r="AD363" s="83"/>
      <c r="AE363" s="83"/>
      <c r="AF363" s="83"/>
    </row>
    <row r="364" spans="2:32" x14ac:dyDescent="0.25">
      <c r="B364" s="82"/>
      <c r="R364"/>
      <c r="S364"/>
      <c r="T364"/>
      <c r="U364" s="84"/>
      <c r="W364" s="84"/>
      <c r="X364" s="84"/>
      <c r="Z364"/>
      <c r="AB364" s="84"/>
      <c r="AD364" s="83"/>
      <c r="AE364" s="83"/>
      <c r="AF364" s="83"/>
    </row>
    <row r="365" spans="2:32" x14ac:dyDescent="0.25">
      <c r="B365" s="82"/>
      <c r="R365"/>
      <c r="S365"/>
      <c r="T365"/>
      <c r="U365" s="84"/>
      <c r="W365" s="84"/>
      <c r="X365" s="84"/>
      <c r="Z365"/>
      <c r="AB365" s="84"/>
      <c r="AD365" s="83"/>
      <c r="AE365" s="83"/>
      <c r="AF365" s="83"/>
    </row>
    <row r="366" spans="2:32" x14ac:dyDescent="0.25">
      <c r="B366" s="82"/>
      <c r="R366"/>
      <c r="S366"/>
      <c r="T366"/>
      <c r="U366" s="84"/>
      <c r="W366" s="84"/>
      <c r="X366" s="84"/>
      <c r="Z366"/>
      <c r="AB366" s="84"/>
      <c r="AD366" s="83"/>
      <c r="AE366" s="83"/>
      <c r="AF366" s="83"/>
    </row>
    <row r="367" spans="2:32" x14ac:dyDescent="0.25">
      <c r="B367" s="82"/>
      <c r="R367"/>
      <c r="S367"/>
      <c r="T367"/>
      <c r="U367" s="84"/>
      <c r="W367" s="84"/>
      <c r="X367" s="84"/>
      <c r="Z367"/>
      <c r="AB367" s="84"/>
      <c r="AD367" s="83"/>
      <c r="AE367" s="83"/>
      <c r="AF367" s="83"/>
    </row>
    <row r="368" spans="2:32" x14ac:dyDescent="0.25">
      <c r="B368" s="82"/>
      <c r="R368"/>
      <c r="S368"/>
      <c r="T368"/>
      <c r="U368" s="84"/>
      <c r="W368" s="84"/>
      <c r="X368" s="84"/>
      <c r="Z368"/>
      <c r="AB368" s="84"/>
      <c r="AD368" s="83"/>
      <c r="AE368" s="83"/>
      <c r="AF368" s="83"/>
    </row>
    <row r="369" spans="2:32" x14ac:dyDescent="0.25">
      <c r="B369" s="82"/>
      <c r="R369"/>
      <c r="S369"/>
      <c r="T369"/>
      <c r="U369" s="84"/>
      <c r="W369" s="84"/>
      <c r="X369" s="84"/>
      <c r="Z369"/>
      <c r="AB369" s="84"/>
      <c r="AD369" s="83"/>
      <c r="AE369" s="83"/>
      <c r="AF369" s="83"/>
    </row>
    <row r="370" spans="2:32" x14ac:dyDescent="0.25">
      <c r="B370" s="82"/>
      <c r="R370"/>
      <c r="S370"/>
      <c r="T370"/>
      <c r="U370" s="84"/>
      <c r="W370" s="84"/>
      <c r="X370" s="84"/>
      <c r="Z370"/>
      <c r="AB370" s="84"/>
      <c r="AD370" s="83"/>
      <c r="AE370" s="83"/>
      <c r="AF370" s="83"/>
    </row>
    <row r="371" spans="2:32" x14ac:dyDescent="0.25">
      <c r="B371" s="82"/>
      <c r="R371"/>
      <c r="S371"/>
      <c r="T371"/>
      <c r="U371" s="84"/>
      <c r="W371" s="84"/>
      <c r="X371" s="84"/>
      <c r="Z371"/>
      <c r="AB371" s="84"/>
      <c r="AD371" s="83"/>
      <c r="AE371" s="83"/>
      <c r="AF371" s="83"/>
    </row>
    <row r="372" spans="2:32" x14ac:dyDescent="0.25">
      <c r="B372" s="82"/>
      <c r="R372"/>
      <c r="S372"/>
      <c r="T372"/>
      <c r="U372" s="84"/>
      <c r="W372" s="84"/>
      <c r="X372" s="84"/>
      <c r="Z372"/>
      <c r="AB372" s="84"/>
      <c r="AD372" s="83"/>
      <c r="AE372" s="83"/>
      <c r="AF372" s="83"/>
    </row>
    <row r="373" spans="2:32" x14ac:dyDescent="0.25">
      <c r="B373" s="82"/>
      <c r="R373"/>
      <c r="S373"/>
      <c r="T373"/>
      <c r="U373" s="84"/>
      <c r="W373" s="84"/>
      <c r="X373" s="84"/>
      <c r="Z373"/>
      <c r="AB373" s="84"/>
      <c r="AD373" s="83"/>
      <c r="AE373" s="83"/>
      <c r="AF373" s="83"/>
    </row>
    <row r="374" spans="2:32" x14ac:dyDescent="0.25">
      <c r="B374" s="82"/>
      <c r="R374"/>
      <c r="S374"/>
      <c r="T374"/>
      <c r="U374" s="84"/>
      <c r="W374" s="84"/>
      <c r="X374" s="84"/>
      <c r="Z374"/>
      <c r="AB374" s="84"/>
      <c r="AD374" s="83"/>
      <c r="AE374" s="83"/>
      <c r="AF374" s="83"/>
    </row>
    <row r="375" spans="2:32" x14ac:dyDescent="0.25">
      <c r="B375" s="82"/>
      <c r="R375"/>
      <c r="S375"/>
      <c r="T375"/>
      <c r="U375" s="84"/>
      <c r="W375" s="84"/>
      <c r="X375" s="84"/>
      <c r="Z375"/>
      <c r="AB375" s="84"/>
      <c r="AD375" s="83"/>
      <c r="AE375" s="83"/>
      <c r="AF375" s="83"/>
    </row>
    <row r="376" spans="2:32" x14ac:dyDescent="0.25">
      <c r="B376" s="82"/>
      <c r="R376"/>
      <c r="S376"/>
      <c r="T376"/>
      <c r="U376" s="84"/>
      <c r="W376" s="84"/>
      <c r="X376" s="84"/>
      <c r="Z376"/>
      <c r="AB376" s="84"/>
      <c r="AD376" s="83"/>
      <c r="AE376" s="83"/>
      <c r="AF376" s="83"/>
    </row>
    <row r="377" spans="2:32" x14ac:dyDescent="0.25">
      <c r="B377" s="82"/>
      <c r="R377"/>
      <c r="S377"/>
      <c r="T377"/>
      <c r="U377" s="84"/>
      <c r="W377" s="84"/>
      <c r="X377" s="84"/>
      <c r="Z377"/>
      <c r="AB377" s="84"/>
      <c r="AD377" s="83"/>
      <c r="AE377" s="83"/>
      <c r="AF377" s="83"/>
    </row>
    <row r="378" spans="2:32" x14ac:dyDescent="0.25">
      <c r="B378" s="82"/>
      <c r="R378"/>
      <c r="S378"/>
      <c r="T378"/>
      <c r="U378" s="84"/>
      <c r="W378" s="84"/>
      <c r="X378" s="84"/>
      <c r="Z378"/>
      <c r="AB378" s="84"/>
      <c r="AD378" s="83"/>
      <c r="AE378" s="83"/>
      <c r="AF378" s="83"/>
    </row>
    <row r="379" spans="2:32" x14ac:dyDescent="0.25">
      <c r="B379" s="82"/>
      <c r="R379"/>
      <c r="S379"/>
      <c r="T379"/>
      <c r="U379" s="84"/>
      <c r="W379" s="84"/>
      <c r="X379" s="84"/>
      <c r="Z379"/>
      <c r="AB379" s="84"/>
      <c r="AD379" s="83"/>
      <c r="AE379" s="83"/>
      <c r="AF379" s="83"/>
    </row>
    <row r="380" spans="2:32" x14ac:dyDescent="0.25">
      <c r="B380" s="82"/>
      <c r="R380"/>
      <c r="S380"/>
      <c r="T380"/>
      <c r="U380" s="84"/>
      <c r="W380" s="84"/>
      <c r="X380" s="84"/>
      <c r="Z380"/>
      <c r="AB380" s="84"/>
      <c r="AD380" s="83"/>
      <c r="AE380" s="83"/>
      <c r="AF380" s="83"/>
    </row>
    <row r="381" spans="2:32" x14ac:dyDescent="0.25">
      <c r="B381" s="82"/>
      <c r="R381"/>
      <c r="S381"/>
      <c r="T381"/>
      <c r="U381" s="84"/>
      <c r="W381" s="84"/>
      <c r="X381" s="84"/>
      <c r="Z381"/>
      <c r="AB381" s="84"/>
      <c r="AD381" s="83"/>
      <c r="AE381" s="83"/>
      <c r="AF381" s="83"/>
    </row>
    <row r="382" spans="2:32" x14ac:dyDescent="0.25">
      <c r="B382" s="82"/>
      <c r="R382"/>
      <c r="S382"/>
      <c r="T382"/>
      <c r="U382" s="84"/>
      <c r="W382" s="84"/>
      <c r="X382" s="84"/>
      <c r="Z382"/>
      <c r="AB382" s="84"/>
      <c r="AD382" s="83"/>
      <c r="AE382" s="83"/>
      <c r="AF382" s="83"/>
    </row>
    <row r="383" spans="2:32" x14ac:dyDescent="0.25">
      <c r="B383" s="82"/>
      <c r="R383"/>
      <c r="S383"/>
      <c r="T383"/>
      <c r="U383" s="84"/>
      <c r="W383" s="84"/>
      <c r="X383" s="84"/>
      <c r="Z383"/>
      <c r="AB383" s="84"/>
      <c r="AD383" s="83"/>
      <c r="AE383" s="83"/>
      <c r="AF383" s="83"/>
    </row>
    <row r="384" spans="2:32" x14ac:dyDescent="0.25">
      <c r="B384" s="82"/>
      <c r="R384"/>
      <c r="S384"/>
      <c r="T384"/>
      <c r="U384" s="84"/>
      <c r="W384" s="84"/>
      <c r="X384" s="84"/>
      <c r="Z384"/>
      <c r="AB384" s="84"/>
      <c r="AD384" s="83"/>
      <c r="AE384" s="83"/>
      <c r="AF384" s="83"/>
    </row>
    <row r="385" spans="2:32" x14ac:dyDescent="0.25">
      <c r="B385" s="82"/>
      <c r="R385"/>
      <c r="S385"/>
      <c r="T385"/>
      <c r="U385" s="84"/>
      <c r="W385" s="84"/>
      <c r="X385" s="84"/>
      <c r="Z385"/>
      <c r="AB385" s="84"/>
      <c r="AD385" s="83"/>
      <c r="AE385" s="83"/>
      <c r="AF385" s="83"/>
    </row>
    <row r="386" spans="2:32" x14ac:dyDescent="0.25">
      <c r="B386" s="82"/>
      <c r="R386"/>
      <c r="S386"/>
      <c r="T386"/>
      <c r="U386" s="84"/>
      <c r="W386" s="84"/>
      <c r="X386" s="84"/>
      <c r="Z386"/>
      <c r="AB386" s="84"/>
      <c r="AD386" s="83"/>
      <c r="AE386" s="83"/>
      <c r="AF386" s="83"/>
    </row>
    <row r="387" spans="2:32" x14ac:dyDescent="0.25">
      <c r="B387" s="82"/>
      <c r="R387"/>
      <c r="S387"/>
      <c r="T387"/>
      <c r="U387" s="84"/>
      <c r="W387" s="84"/>
      <c r="X387" s="84"/>
      <c r="Z387"/>
      <c r="AB387" s="84"/>
      <c r="AD387" s="83"/>
      <c r="AE387" s="83"/>
      <c r="AF387" s="83"/>
    </row>
    <row r="388" spans="2:32" x14ac:dyDescent="0.25">
      <c r="B388" s="82"/>
      <c r="R388"/>
      <c r="S388"/>
      <c r="T388"/>
      <c r="U388" s="84"/>
      <c r="W388" s="84"/>
      <c r="X388" s="84"/>
      <c r="Z388"/>
      <c r="AB388" s="84"/>
      <c r="AD388" s="83"/>
      <c r="AE388" s="83"/>
      <c r="AF388" s="83"/>
    </row>
    <row r="389" spans="2:32" x14ac:dyDescent="0.25">
      <c r="B389" s="82"/>
      <c r="R389"/>
      <c r="S389"/>
      <c r="T389"/>
      <c r="U389" s="84"/>
      <c r="W389" s="84"/>
      <c r="X389" s="84"/>
      <c r="Z389"/>
      <c r="AB389" s="84"/>
      <c r="AD389" s="83"/>
      <c r="AE389" s="83"/>
      <c r="AF389" s="83"/>
    </row>
    <row r="390" spans="2:32" x14ac:dyDescent="0.25">
      <c r="B390" s="82"/>
      <c r="R390"/>
      <c r="S390"/>
      <c r="T390"/>
      <c r="U390" s="84"/>
      <c r="W390" s="84"/>
      <c r="X390" s="84"/>
      <c r="Z390"/>
      <c r="AB390" s="84"/>
      <c r="AD390" s="83"/>
      <c r="AE390" s="83"/>
      <c r="AF390" s="83"/>
    </row>
    <row r="391" spans="2:32" x14ac:dyDescent="0.25">
      <c r="B391" s="82"/>
      <c r="R391"/>
      <c r="S391"/>
      <c r="T391"/>
      <c r="U391" s="84"/>
      <c r="W391" s="84"/>
      <c r="X391" s="84"/>
      <c r="Z391"/>
      <c r="AB391" s="84"/>
      <c r="AD391" s="83"/>
      <c r="AE391" s="83"/>
      <c r="AF391" s="83"/>
    </row>
    <row r="392" spans="2:32" x14ac:dyDescent="0.25">
      <c r="B392" s="82"/>
      <c r="R392"/>
      <c r="S392"/>
      <c r="T392"/>
      <c r="U392" s="84"/>
      <c r="W392" s="84"/>
      <c r="X392" s="84"/>
      <c r="Z392"/>
      <c r="AB392" s="84"/>
      <c r="AD392" s="83"/>
      <c r="AE392" s="83"/>
      <c r="AF392" s="83"/>
    </row>
    <row r="393" spans="2:32" x14ac:dyDescent="0.25">
      <c r="B393" s="82"/>
      <c r="R393"/>
      <c r="S393"/>
      <c r="T393"/>
      <c r="U393" s="84"/>
      <c r="W393" s="84"/>
      <c r="X393" s="84"/>
      <c r="Z393"/>
      <c r="AB393" s="84"/>
      <c r="AD393" s="83"/>
      <c r="AE393" s="83"/>
      <c r="AF393" s="83"/>
    </row>
    <row r="394" spans="2:32" x14ac:dyDescent="0.25">
      <c r="B394" s="82"/>
      <c r="R394"/>
      <c r="S394"/>
      <c r="T394"/>
      <c r="U394" s="84"/>
      <c r="W394" s="84"/>
      <c r="X394" s="84"/>
      <c r="Z394"/>
      <c r="AB394" s="84"/>
      <c r="AD394" s="83"/>
      <c r="AE394" s="83"/>
      <c r="AF394" s="83"/>
    </row>
    <row r="395" spans="2:32" x14ac:dyDescent="0.25">
      <c r="B395" s="82"/>
      <c r="R395"/>
      <c r="S395"/>
      <c r="T395"/>
      <c r="U395" s="84"/>
      <c r="W395" s="84"/>
      <c r="X395" s="84"/>
      <c r="Z395"/>
      <c r="AB395" s="84"/>
      <c r="AD395" s="83"/>
      <c r="AE395" s="83"/>
      <c r="AF395" s="83"/>
    </row>
    <row r="396" spans="2:32" x14ac:dyDescent="0.25">
      <c r="B396" s="82"/>
      <c r="R396"/>
      <c r="S396"/>
      <c r="T396"/>
      <c r="U396" s="84"/>
      <c r="W396" s="84"/>
      <c r="X396" s="84"/>
      <c r="Z396"/>
      <c r="AB396" s="84"/>
      <c r="AD396" s="83"/>
      <c r="AE396" s="83"/>
      <c r="AF396" s="83"/>
    </row>
    <row r="397" spans="2:32" x14ac:dyDescent="0.25">
      <c r="B397" s="82"/>
      <c r="R397"/>
      <c r="S397"/>
      <c r="T397"/>
      <c r="U397" s="84"/>
      <c r="W397" s="84"/>
      <c r="X397" s="84"/>
      <c r="Z397"/>
      <c r="AB397" s="84"/>
      <c r="AD397" s="83"/>
      <c r="AE397" s="83"/>
      <c r="AF397" s="83"/>
    </row>
    <row r="398" spans="2:32" x14ac:dyDescent="0.25">
      <c r="B398" s="82"/>
      <c r="R398"/>
      <c r="S398"/>
      <c r="T398"/>
      <c r="U398" s="84"/>
      <c r="W398" s="84"/>
      <c r="X398" s="84"/>
      <c r="Z398"/>
      <c r="AB398" s="84"/>
      <c r="AD398" s="83"/>
      <c r="AE398" s="83"/>
      <c r="AF398" s="83"/>
    </row>
    <row r="399" spans="2:32" x14ac:dyDescent="0.25">
      <c r="B399" s="82"/>
      <c r="R399"/>
      <c r="S399"/>
      <c r="T399"/>
      <c r="U399" s="84"/>
      <c r="W399" s="84"/>
      <c r="X399" s="84"/>
      <c r="Z399"/>
      <c r="AB399" s="84"/>
      <c r="AD399" s="83"/>
      <c r="AE399" s="83"/>
      <c r="AF399" s="83"/>
    </row>
    <row r="400" spans="2:32" x14ac:dyDescent="0.25">
      <c r="B400" s="82"/>
      <c r="R400"/>
      <c r="S400"/>
      <c r="T400"/>
      <c r="U400" s="84"/>
      <c r="W400" s="84"/>
      <c r="X400" s="84"/>
      <c r="Z400"/>
      <c r="AB400" s="84"/>
      <c r="AD400" s="83"/>
      <c r="AE400" s="83"/>
      <c r="AF400" s="83"/>
    </row>
    <row r="401" spans="2:32" x14ac:dyDescent="0.25">
      <c r="B401" s="82"/>
      <c r="R401"/>
      <c r="S401"/>
      <c r="T401"/>
      <c r="U401" s="84"/>
      <c r="W401" s="84"/>
      <c r="X401" s="84"/>
      <c r="Z401"/>
      <c r="AB401" s="84"/>
      <c r="AD401" s="83"/>
      <c r="AE401" s="83"/>
      <c r="AF401" s="83"/>
    </row>
    <row r="402" spans="2:32" x14ac:dyDescent="0.25">
      <c r="B402" s="82"/>
      <c r="R402"/>
      <c r="S402"/>
      <c r="T402"/>
      <c r="U402" s="84"/>
      <c r="W402" s="84"/>
      <c r="X402" s="84"/>
      <c r="Z402"/>
      <c r="AB402" s="84"/>
      <c r="AD402" s="83"/>
      <c r="AE402" s="83"/>
      <c r="AF402" s="83"/>
    </row>
    <row r="403" spans="2:32" x14ac:dyDescent="0.25">
      <c r="B403" s="82"/>
      <c r="R403"/>
      <c r="S403"/>
      <c r="T403"/>
      <c r="U403" s="84"/>
      <c r="W403" s="84"/>
      <c r="X403" s="84"/>
      <c r="Z403"/>
      <c r="AB403" s="84"/>
      <c r="AD403" s="83"/>
      <c r="AE403" s="83"/>
      <c r="AF403" s="83"/>
    </row>
    <row r="404" spans="2:32" x14ac:dyDescent="0.25">
      <c r="B404" s="82"/>
      <c r="R404"/>
      <c r="S404"/>
      <c r="T404"/>
      <c r="U404" s="84"/>
      <c r="W404" s="84"/>
      <c r="X404" s="84"/>
      <c r="Z404"/>
      <c r="AB404" s="84"/>
      <c r="AD404" s="83"/>
      <c r="AE404" s="83"/>
      <c r="AF404" s="83"/>
    </row>
    <row r="405" spans="2:32" x14ac:dyDescent="0.25">
      <c r="B405" s="82"/>
      <c r="R405"/>
      <c r="S405"/>
      <c r="T405"/>
      <c r="U405" s="84"/>
      <c r="W405" s="84"/>
      <c r="X405" s="84"/>
      <c r="Z405"/>
      <c r="AB405" s="84"/>
      <c r="AD405" s="83"/>
      <c r="AE405" s="83"/>
      <c r="AF405" s="83"/>
    </row>
    <row r="406" spans="2:32" x14ac:dyDescent="0.25">
      <c r="B406" s="82"/>
      <c r="R406"/>
      <c r="S406"/>
      <c r="T406"/>
      <c r="U406" s="84"/>
      <c r="W406" s="84"/>
      <c r="X406" s="84"/>
      <c r="Z406"/>
      <c r="AB406" s="84"/>
      <c r="AD406" s="83"/>
      <c r="AE406" s="83"/>
      <c r="AF406" s="83"/>
    </row>
    <row r="407" spans="2:32" x14ac:dyDescent="0.25">
      <c r="B407" s="82"/>
      <c r="R407"/>
      <c r="S407"/>
      <c r="T407"/>
      <c r="U407" s="84"/>
      <c r="W407" s="84"/>
      <c r="X407" s="84"/>
      <c r="Z407"/>
      <c r="AB407" s="84"/>
      <c r="AD407" s="83"/>
      <c r="AE407" s="83"/>
      <c r="AF407" s="83"/>
    </row>
    <row r="408" spans="2:32" x14ac:dyDescent="0.25">
      <c r="B408" s="82"/>
      <c r="R408"/>
      <c r="S408"/>
      <c r="T408"/>
      <c r="U408" s="84"/>
      <c r="W408" s="84"/>
      <c r="X408" s="84"/>
      <c r="Z408"/>
      <c r="AB408" s="84"/>
      <c r="AD408" s="83"/>
      <c r="AE408" s="83"/>
      <c r="AF408" s="83"/>
    </row>
    <row r="409" spans="2:32" x14ac:dyDescent="0.25">
      <c r="B409" s="82"/>
      <c r="R409"/>
      <c r="S409"/>
      <c r="T409"/>
      <c r="U409" s="84"/>
      <c r="W409" s="84"/>
      <c r="X409" s="84"/>
      <c r="Z409"/>
      <c r="AB409" s="84"/>
      <c r="AD409" s="83"/>
      <c r="AE409" s="83"/>
      <c r="AF409" s="83"/>
    </row>
    <row r="410" spans="2:32" x14ac:dyDescent="0.25">
      <c r="B410" s="82"/>
      <c r="R410"/>
      <c r="S410"/>
      <c r="T410"/>
      <c r="U410" s="84"/>
      <c r="W410" s="84"/>
      <c r="X410" s="84"/>
      <c r="Z410"/>
      <c r="AB410" s="84"/>
      <c r="AD410" s="83"/>
      <c r="AE410" s="83"/>
      <c r="AF410" s="83"/>
    </row>
    <row r="411" spans="2:32" x14ac:dyDescent="0.25">
      <c r="B411" s="82"/>
      <c r="R411"/>
      <c r="S411"/>
      <c r="T411"/>
      <c r="U411" s="84"/>
      <c r="W411" s="84"/>
      <c r="X411" s="84"/>
      <c r="Z411"/>
      <c r="AB411" s="84"/>
      <c r="AD411" s="83"/>
      <c r="AE411" s="83"/>
      <c r="AF411" s="83"/>
    </row>
    <row r="412" spans="2:32" x14ac:dyDescent="0.25">
      <c r="B412" s="82"/>
      <c r="R412"/>
      <c r="S412"/>
      <c r="T412"/>
      <c r="U412" s="84"/>
      <c r="W412" s="84"/>
      <c r="X412" s="84"/>
      <c r="Z412"/>
      <c r="AB412" s="84"/>
      <c r="AD412" s="83"/>
      <c r="AE412" s="83"/>
      <c r="AF412" s="83"/>
    </row>
    <row r="413" spans="2:32" x14ac:dyDescent="0.25">
      <c r="B413" s="82"/>
      <c r="R413"/>
      <c r="S413"/>
      <c r="T413"/>
      <c r="U413" s="84"/>
      <c r="W413" s="84"/>
      <c r="X413" s="84"/>
      <c r="Z413"/>
      <c r="AB413" s="84"/>
      <c r="AD413" s="83"/>
      <c r="AE413" s="83"/>
      <c r="AF413" s="83"/>
    </row>
    <row r="414" spans="2:32" x14ac:dyDescent="0.25">
      <c r="B414" s="82"/>
      <c r="R414"/>
      <c r="S414"/>
      <c r="T414"/>
      <c r="U414" s="84"/>
      <c r="W414" s="84"/>
      <c r="X414" s="84"/>
      <c r="Z414"/>
      <c r="AB414" s="84"/>
      <c r="AD414" s="83"/>
      <c r="AE414" s="83"/>
      <c r="AF414" s="83"/>
    </row>
    <row r="415" spans="2:32" x14ac:dyDescent="0.25">
      <c r="B415" s="82"/>
      <c r="R415"/>
      <c r="S415"/>
      <c r="T415"/>
      <c r="U415" s="84"/>
      <c r="W415" s="84"/>
      <c r="X415" s="84"/>
      <c r="Z415"/>
      <c r="AB415" s="84"/>
      <c r="AD415" s="83"/>
      <c r="AE415" s="83"/>
      <c r="AF415" s="83"/>
    </row>
    <row r="416" spans="2:32" x14ac:dyDescent="0.25">
      <c r="B416" s="82"/>
      <c r="R416"/>
      <c r="S416"/>
      <c r="T416"/>
      <c r="U416" s="84"/>
      <c r="W416" s="84"/>
      <c r="X416" s="84"/>
      <c r="Z416"/>
      <c r="AB416" s="84"/>
      <c r="AD416" s="83"/>
      <c r="AE416" s="83"/>
      <c r="AF416" s="83"/>
    </row>
    <row r="417" spans="2:32" x14ac:dyDescent="0.25">
      <c r="B417" s="82"/>
      <c r="R417"/>
      <c r="S417"/>
      <c r="T417"/>
      <c r="U417" s="84"/>
      <c r="W417" s="84"/>
      <c r="X417" s="84"/>
      <c r="Z417"/>
      <c r="AB417" s="84"/>
      <c r="AD417" s="83"/>
      <c r="AE417" s="83"/>
      <c r="AF417" s="83"/>
    </row>
    <row r="418" spans="2:32" x14ac:dyDescent="0.25">
      <c r="B418" s="82"/>
      <c r="R418"/>
      <c r="S418"/>
      <c r="T418"/>
      <c r="U418" s="84"/>
      <c r="W418" s="84"/>
      <c r="X418" s="84"/>
      <c r="Z418"/>
      <c r="AB418" s="84"/>
      <c r="AD418" s="83"/>
      <c r="AE418" s="83"/>
      <c r="AF418" s="83"/>
    </row>
    <row r="419" spans="2:32" x14ac:dyDescent="0.25">
      <c r="B419" s="82"/>
      <c r="R419"/>
      <c r="S419"/>
      <c r="T419"/>
      <c r="U419" s="84"/>
      <c r="W419" s="84"/>
      <c r="X419" s="84"/>
      <c r="Z419"/>
      <c r="AB419" s="84"/>
      <c r="AD419" s="83"/>
      <c r="AE419" s="83"/>
      <c r="AF419" s="83"/>
    </row>
    <row r="420" spans="2:32" x14ac:dyDescent="0.25">
      <c r="B420" s="82"/>
      <c r="R420"/>
      <c r="S420"/>
      <c r="T420"/>
      <c r="U420" s="84"/>
      <c r="W420" s="84"/>
      <c r="X420" s="84"/>
      <c r="Z420"/>
      <c r="AB420" s="84"/>
      <c r="AD420" s="83"/>
      <c r="AE420" s="83"/>
      <c r="AF420" s="83"/>
    </row>
    <row r="421" spans="2:32" x14ac:dyDescent="0.25">
      <c r="B421" s="82"/>
      <c r="R421"/>
      <c r="S421"/>
      <c r="T421"/>
      <c r="U421" s="84"/>
      <c r="W421" s="84"/>
      <c r="X421" s="84"/>
      <c r="Z421"/>
      <c r="AB421" s="84"/>
      <c r="AD421" s="83"/>
      <c r="AE421" s="83"/>
      <c r="AF421" s="83"/>
    </row>
    <row r="422" spans="2:32" x14ac:dyDescent="0.25">
      <c r="B422" s="82"/>
      <c r="R422"/>
      <c r="S422"/>
      <c r="T422"/>
      <c r="U422" s="84"/>
      <c r="W422" s="84"/>
      <c r="X422" s="84"/>
      <c r="Z422"/>
      <c r="AB422" s="84"/>
      <c r="AD422" s="83"/>
      <c r="AE422" s="83"/>
      <c r="AF422" s="83"/>
    </row>
    <row r="423" spans="2:32" x14ac:dyDescent="0.25">
      <c r="B423" s="82"/>
      <c r="R423"/>
      <c r="S423"/>
      <c r="T423"/>
      <c r="U423" s="84"/>
      <c r="W423" s="84"/>
      <c r="X423" s="84"/>
      <c r="Z423"/>
      <c r="AB423" s="84"/>
      <c r="AD423" s="83"/>
      <c r="AE423" s="83"/>
      <c r="AF423" s="83"/>
    </row>
    <row r="424" spans="2:32" x14ac:dyDescent="0.25">
      <c r="B424" s="82"/>
      <c r="R424"/>
      <c r="S424"/>
      <c r="T424"/>
      <c r="U424" s="84"/>
      <c r="W424" s="84"/>
      <c r="X424" s="84"/>
      <c r="Z424"/>
      <c r="AB424" s="84"/>
      <c r="AD424" s="83"/>
      <c r="AE424" s="83"/>
      <c r="AF424" s="83"/>
    </row>
    <row r="425" spans="2:32" x14ac:dyDescent="0.25">
      <c r="B425" s="82"/>
      <c r="R425"/>
      <c r="S425"/>
      <c r="T425"/>
      <c r="U425" s="84"/>
      <c r="W425" s="84"/>
      <c r="X425" s="84"/>
      <c r="Z425"/>
      <c r="AB425" s="84"/>
      <c r="AD425" s="83"/>
      <c r="AE425" s="83"/>
      <c r="AF425" s="83"/>
    </row>
    <row r="426" spans="2:32" x14ac:dyDescent="0.25">
      <c r="B426" s="82"/>
      <c r="R426"/>
      <c r="S426"/>
      <c r="T426"/>
      <c r="U426" s="84"/>
      <c r="W426" s="84"/>
      <c r="X426" s="84"/>
      <c r="Z426"/>
      <c r="AB426" s="84"/>
      <c r="AD426" s="83"/>
      <c r="AE426" s="83"/>
      <c r="AF426" s="83"/>
    </row>
    <row r="427" spans="2:32" x14ac:dyDescent="0.25">
      <c r="B427" s="82"/>
      <c r="R427"/>
      <c r="S427"/>
      <c r="T427"/>
      <c r="U427" s="84"/>
      <c r="W427" s="84"/>
      <c r="X427" s="84"/>
      <c r="Z427"/>
      <c r="AB427" s="84"/>
      <c r="AD427" s="83"/>
      <c r="AE427" s="83"/>
      <c r="AF427" s="83"/>
    </row>
    <row r="428" spans="2:32" x14ac:dyDescent="0.25">
      <c r="B428" s="82"/>
      <c r="R428"/>
      <c r="S428"/>
      <c r="T428"/>
      <c r="U428" s="84"/>
      <c r="W428" s="84"/>
      <c r="X428" s="84"/>
      <c r="Z428"/>
      <c r="AB428" s="84"/>
      <c r="AD428" s="83"/>
      <c r="AE428" s="83"/>
      <c r="AF428" s="83"/>
    </row>
    <row r="429" spans="2:32" x14ac:dyDescent="0.25">
      <c r="B429" s="82"/>
      <c r="R429"/>
      <c r="S429"/>
      <c r="T429"/>
      <c r="U429" s="84"/>
      <c r="W429" s="84"/>
      <c r="X429" s="84"/>
      <c r="Z429"/>
      <c r="AB429" s="84"/>
      <c r="AD429" s="83"/>
      <c r="AE429" s="83"/>
      <c r="AF429" s="83"/>
    </row>
    <row r="430" spans="2:32" x14ac:dyDescent="0.25">
      <c r="B430" s="82"/>
      <c r="R430"/>
      <c r="S430"/>
      <c r="T430"/>
      <c r="U430" s="84"/>
      <c r="W430" s="84"/>
      <c r="X430" s="84"/>
      <c r="Z430"/>
      <c r="AB430" s="84"/>
      <c r="AD430" s="83"/>
      <c r="AE430" s="83"/>
      <c r="AF430" s="83"/>
    </row>
    <row r="431" spans="2:32" x14ac:dyDescent="0.25">
      <c r="B431" s="82"/>
      <c r="R431"/>
      <c r="S431"/>
      <c r="T431"/>
      <c r="U431" s="84"/>
      <c r="W431" s="84"/>
      <c r="X431" s="84"/>
      <c r="Z431"/>
      <c r="AB431" s="84"/>
      <c r="AD431" s="83"/>
      <c r="AE431" s="83"/>
      <c r="AF431" s="83"/>
    </row>
    <row r="432" spans="2:32" x14ac:dyDescent="0.25">
      <c r="B432" s="82"/>
      <c r="R432"/>
      <c r="S432"/>
      <c r="T432"/>
      <c r="U432" s="84"/>
      <c r="W432" s="84"/>
      <c r="X432" s="84"/>
      <c r="Z432"/>
      <c r="AB432" s="84"/>
      <c r="AD432" s="83"/>
      <c r="AE432" s="83"/>
      <c r="AF432" s="83"/>
    </row>
    <row r="433" spans="2:32" x14ac:dyDescent="0.25">
      <c r="B433" s="82"/>
      <c r="R433"/>
      <c r="S433"/>
      <c r="T433"/>
      <c r="U433" s="84"/>
      <c r="W433" s="84"/>
      <c r="X433" s="84"/>
      <c r="Z433"/>
      <c r="AB433" s="84"/>
      <c r="AD433" s="83"/>
      <c r="AE433" s="83"/>
      <c r="AF433" s="83"/>
    </row>
    <row r="434" spans="2:32" x14ac:dyDescent="0.25">
      <c r="B434" s="82"/>
      <c r="R434"/>
      <c r="S434"/>
      <c r="T434"/>
      <c r="U434" s="84"/>
      <c r="W434" s="84"/>
      <c r="X434" s="84"/>
      <c r="Z434"/>
      <c r="AB434" s="84"/>
      <c r="AD434" s="83"/>
      <c r="AE434" s="83"/>
      <c r="AF434" s="83"/>
    </row>
    <row r="435" spans="2:32" x14ac:dyDescent="0.25">
      <c r="B435" s="82"/>
      <c r="R435"/>
      <c r="S435"/>
      <c r="T435"/>
      <c r="U435" s="84"/>
      <c r="W435" s="84"/>
      <c r="X435" s="84"/>
      <c r="Z435"/>
      <c r="AB435" s="84"/>
      <c r="AD435" s="83"/>
      <c r="AE435" s="83"/>
      <c r="AF435" s="83"/>
    </row>
    <row r="436" spans="2:32" x14ac:dyDescent="0.25">
      <c r="B436" s="82"/>
      <c r="R436"/>
      <c r="S436"/>
      <c r="T436"/>
      <c r="U436" s="84"/>
      <c r="W436" s="84"/>
      <c r="X436" s="84"/>
      <c r="Z436"/>
      <c r="AB436" s="84"/>
      <c r="AD436" s="83"/>
      <c r="AE436" s="83"/>
      <c r="AF436" s="83"/>
    </row>
    <row r="437" spans="2:32" x14ac:dyDescent="0.25">
      <c r="B437" s="82"/>
      <c r="R437"/>
      <c r="S437"/>
      <c r="T437"/>
      <c r="U437" s="84"/>
      <c r="W437" s="84"/>
      <c r="X437" s="84"/>
      <c r="Z437"/>
      <c r="AB437" s="84"/>
      <c r="AD437" s="83"/>
      <c r="AE437" s="83"/>
      <c r="AF437" s="83"/>
    </row>
    <row r="438" spans="2:32" x14ac:dyDescent="0.25">
      <c r="B438" s="82"/>
      <c r="R438"/>
      <c r="S438"/>
      <c r="T438"/>
      <c r="U438" s="84"/>
      <c r="W438" s="84"/>
      <c r="X438" s="84"/>
      <c r="Z438"/>
      <c r="AB438" s="84"/>
      <c r="AD438" s="83"/>
      <c r="AE438" s="83"/>
      <c r="AF438" s="83"/>
    </row>
    <row r="439" spans="2:32" x14ac:dyDescent="0.25">
      <c r="B439" s="82"/>
      <c r="R439"/>
      <c r="S439"/>
      <c r="T439"/>
      <c r="U439" s="84"/>
      <c r="W439" s="84"/>
      <c r="X439" s="84"/>
      <c r="Z439"/>
      <c r="AB439" s="84"/>
      <c r="AD439" s="83"/>
      <c r="AE439" s="83"/>
      <c r="AF439" s="83"/>
    </row>
    <row r="440" spans="2:32" x14ac:dyDescent="0.25">
      <c r="B440" s="82"/>
      <c r="R440"/>
      <c r="S440"/>
      <c r="T440"/>
      <c r="U440" s="84"/>
      <c r="W440" s="84"/>
      <c r="X440" s="84"/>
      <c r="Z440"/>
      <c r="AB440" s="84"/>
      <c r="AD440" s="83"/>
      <c r="AE440" s="83"/>
      <c r="AF440" s="83"/>
    </row>
    <row r="441" spans="2:32" x14ac:dyDescent="0.25">
      <c r="B441" s="82"/>
      <c r="R441"/>
      <c r="S441"/>
      <c r="T441"/>
      <c r="U441" s="84"/>
      <c r="W441" s="84"/>
      <c r="X441" s="84"/>
      <c r="Z441"/>
      <c r="AB441" s="84"/>
      <c r="AD441" s="83"/>
      <c r="AE441" s="83"/>
      <c r="AF441" s="83"/>
    </row>
    <row r="442" spans="2:32" x14ac:dyDescent="0.25">
      <c r="B442" s="82"/>
      <c r="R442"/>
      <c r="S442"/>
      <c r="T442"/>
      <c r="U442" s="84"/>
      <c r="W442" s="84"/>
      <c r="X442" s="84"/>
      <c r="Z442"/>
      <c r="AB442" s="84"/>
      <c r="AD442" s="83"/>
      <c r="AE442" s="83"/>
      <c r="AF442" s="83"/>
    </row>
    <row r="443" spans="2:32" x14ac:dyDescent="0.25">
      <c r="B443" s="82"/>
      <c r="R443"/>
      <c r="S443"/>
      <c r="T443"/>
      <c r="U443" s="84"/>
      <c r="W443" s="84"/>
      <c r="X443" s="84"/>
      <c r="Z443"/>
      <c r="AB443" s="84"/>
      <c r="AD443" s="83"/>
      <c r="AE443" s="83"/>
      <c r="AF443" s="83"/>
    </row>
    <row r="444" spans="2:32" x14ac:dyDescent="0.25">
      <c r="B444" s="82"/>
      <c r="R444"/>
      <c r="S444"/>
      <c r="T444"/>
      <c r="U444" s="84"/>
      <c r="W444" s="84"/>
      <c r="X444" s="84"/>
      <c r="Z444"/>
      <c r="AB444" s="84"/>
      <c r="AD444" s="83"/>
      <c r="AE444" s="83"/>
      <c r="AF444" s="83"/>
    </row>
    <row r="445" spans="2:32" x14ac:dyDescent="0.25">
      <c r="B445" s="82"/>
      <c r="R445"/>
      <c r="S445"/>
      <c r="T445"/>
      <c r="U445" s="84"/>
      <c r="W445" s="84"/>
      <c r="X445" s="84"/>
      <c r="Z445"/>
      <c r="AB445" s="84"/>
      <c r="AD445" s="83"/>
      <c r="AE445" s="83"/>
      <c r="AF445" s="83"/>
    </row>
    <row r="446" spans="2:32" x14ac:dyDescent="0.25">
      <c r="B446" s="82"/>
      <c r="R446"/>
      <c r="S446"/>
      <c r="T446"/>
      <c r="U446" s="84"/>
      <c r="W446" s="84"/>
      <c r="X446" s="84"/>
      <c r="Z446"/>
      <c r="AB446" s="84"/>
      <c r="AD446" s="83"/>
      <c r="AE446" s="83"/>
      <c r="AF446" s="83"/>
    </row>
    <row r="447" spans="2:32" x14ac:dyDescent="0.25">
      <c r="B447" s="82"/>
      <c r="R447"/>
      <c r="S447"/>
      <c r="T447"/>
      <c r="U447" s="84"/>
      <c r="W447" s="84"/>
      <c r="X447" s="84"/>
      <c r="Z447"/>
      <c r="AB447" s="84"/>
      <c r="AD447" s="83"/>
      <c r="AE447" s="83"/>
      <c r="AF447" s="83"/>
    </row>
    <row r="448" spans="2:32" x14ac:dyDescent="0.25">
      <c r="B448" s="82"/>
      <c r="R448"/>
      <c r="S448"/>
      <c r="T448"/>
      <c r="U448" s="84"/>
      <c r="W448" s="84"/>
      <c r="X448" s="84"/>
      <c r="Z448"/>
      <c r="AB448" s="84"/>
      <c r="AD448" s="83"/>
      <c r="AE448" s="83"/>
      <c r="AF448" s="83"/>
    </row>
    <row r="449" spans="2:32" x14ac:dyDescent="0.25">
      <c r="B449" s="82"/>
      <c r="R449"/>
      <c r="S449"/>
      <c r="T449"/>
      <c r="U449" s="84"/>
      <c r="W449" s="84"/>
      <c r="X449" s="84"/>
      <c r="Z449"/>
      <c r="AB449" s="84"/>
      <c r="AD449" s="83"/>
      <c r="AE449" s="83"/>
      <c r="AF449" s="83"/>
    </row>
    <row r="450" spans="2:32" x14ac:dyDescent="0.25">
      <c r="B450" s="82"/>
      <c r="R450"/>
      <c r="S450"/>
      <c r="T450"/>
      <c r="U450" s="84"/>
      <c r="W450" s="84"/>
      <c r="X450" s="84"/>
      <c r="Z450"/>
      <c r="AB450" s="84"/>
      <c r="AD450" s="83"/>
      <c r="AE450" s="83"/>
      <c r="AF450" s="83"/>
    </row>
    <row r="451" spans="2:32" x14ac:dyDescent="0.25">
      <c r="B451" s="82"/>
      <c r="R451"/>
      <c r="S451"/>
      <c r="T451"/>
      <c r="U451" s="84"/>
      <c r="W451" s="84"/>
      <c r="X451" s="84"/>
      <c r="Z451"/>
      <c r="AB451" s="84"/>
      <c r="AD451" s="83"/>
      <c r="AE451" s="83"/>
      <c r="AF451" s="83"/>
    </row>
    <row r="452" spans="2:32" x14ac:dyDescent="0.25">
      <c r="B452" s="82"/>
      <c r="R452"/>
      <c r="S452"/>
      <c r="T452"/>
      <c r="U452" s="84"/>
      <c r="W452" s="84"/>
      <c r="X452" s="84"/>
      <c r="Z452"/>
      <c r="AB452" s="84"/>
      <c r="AD452" s="83"/>
      <c r="AE452" s="83"/>
      <c r="AF452" s="83"/>
    </row>
    <row r="453" spans="2:32" x14ac:dyDescent="0.25">
      <c r="B453" s="82"/>
      <c r="R453"/>
      <c r="S453"/>
      <c r="T453"/>
      <c r="U453" s="84"/>
      <c r="W453" s="84"/>
      <c r="X453" s="84"/>
      <c r="Z453"/>
      <c r="AB453" s="84"/>
      <c r="AD453" s="83"/>
      <c r="AE453" s="83"/>
      <c r="AF453" s="83"/>
    </row>
    <row r="454" spans="2:32" x14ac:dyDescent="0.25">
      <c r="B454" s="82"/>
      <c r="R454"/>
      <c r="S454"/>
      <c r="T454"/>
      <c r="U454" s="84"/>
      <c r="W454" s="84"/>
      <c r="X454" s="84"/>
      <c r="Z454"/>
      <c r="AB454" s="84"/>
      <c r="AD454" s="83"/>
      <c r="AE454" s="83"/>
      <c r="AF454" s="83"/>
    </row>
    <row r="455" spans="2:32" x14ac:dyDescent="0.25">
      <c r="B455" s="82"/>
      <c r="R455"/>
      <c r="S455"/>
      <c r="T455"/>
      <c r="U455" s="84"/>
      <c r="W455" s="84"/>
      <c r="X455" s="84"/>
      <c r="Z455"/>
      <c r="AB455" s="84"/>
      <c r="AD455" s="83"/>
      <c r="AE455" s="83"/>
      <c r="AF455" s="83"/>
    </row>
    <row r="456" spans="2:32" x14ac:dyDescent="0.25">
      <c r="B456" s="82"/>
      <c r="R456"/>
      <c r="S456"/>
      <c r="T456"/>
      <c r="U456" s="84"/>
      <c r="W456" s="84"/>
      <c r="X456" s="84"/>
      <c r="Z456"/>
      <c r="AB456" s="84"/>
      <c r="AD456" s="83"/>
      <c r="AE456" s="83"/>
      <c r="AF456" s="83"/>
    </row>
    <row r="457" spans="2:32" x14ac:dyDescent="0.25">
      <c r="B457" s="82"/>
      <c r="R457"/>
      <c r="S457"/>
      <c r="T457"/>
      <c r="U457" s="84"/>
      <c r="W457" s="84"/>
      <c r="X457" s="84"/>
      <c r="Z457"/>
      <c r="AB457" s="84"/>
      <c r="AD457" s="83"/>
      <c r="AE457" s="83"/>
      <c r="AF457" s="83"/>
    </row>
    <row r="458" spans="2:32" x14ac:dyDescent="0.25">
      <c r="B458" s="82"/>
      <c r="R458"/>
      <c r="S458"/>
      <c r="T458"/>
      <c r="U458" s="84"/>
      <c r="W458" s="84"/>
      <c r="X458" s="84"/>
      <c r="Z458"/>
      <c r="AB458" s="84"/>
      <c r="AD458" s="83"/>
      <c r="AE458" s="83"/>
      <c r="AF458" s="83"/>
    </row>
    <row r="459" spans="2:32" x14ac:dyDescent="0.25">
      <c r="B459" s="82"/>
      <c r="R459"/>
      <c r="S459"/>
      <c r="T459"/>
      <c r="U459" s="84"/>
      <c r="W459" s="84"/>
      <c r="X459" s="84"/>
      <c r="Z459"/>
      <c r="AB459" s="84"/>
      <c r="AD459" s="83"/>
      <c r="AE459" s="83"/>
      <c r="AF459" s="83"/>
    </row>
    <row r="460" spans="2:32" x14ac:dyDescent="0.25">
      <c r="B460" s="82"/>
      <c r="R460"/>
      <c r="S460"/>
      <c r="T460"/>
      <c r="U460" s="84"/>
      <c r="W460" s="84"/>
      <c r="X460" s="84"/>
      <c r="Z460"/>
      <c r="AB460" s="84"/>
      <c r="AD460" s="83"/>
      <c r="AE460" s="83"/>
      <c r="AF460" s="83"/>
    </row>
    <row r="461" spans="2:32" x14ac:dyDescent="0.25">
      <c r="B461" s="82"/>
      <c r="R461"/>
      <c r="S461"/>
      <c r="T461"/>
      <c r="U461" s="84"/>
      <c r="W461" s="84"/>
      <c r="X461" s="84"/>
      <c r="Z461"/>
      <c r="AB461" s="84"/>
      <c r="AD461" s="83"/>
      <c r="AE461" s="83"/>
      <c r="AF461" s="83"/>
    </row>
    <row r="462" spans="2:32" x14ac:dyDescent="0.25">
      <c r="B462" s="82"/>
      <c r="R462"/>
      <c r="S462"/>
      <c r="T462"/>
      <c r="U462" s="84"/>
      <c r="W462" s="84"/>
      <c r="X462" s="84"/>
      <c r="Z462"/>
      <c r="AB462" s="84"/>
      <c r="AD462" s="83"/>
      <c r="AE462" s="83"/>
      <c r="AF462" s="83"/>
    </row>
    <row r="463" spans="2:32" x14ac:dyDescent="0.25">
      <c r="B463" s="82"/>
      <c r="R463"/>
      <c r="S463"/>
      <c r="T463"/>
      <c r="U463" s="84"/>
      <c r="W463" s="84"/>
      <c r="X463" s="84"/>
      <c r="Z463"/>
      <c r="AB463" s="84"/>
      <c r="AD463" s="83"/>
      <c r="AE463" s="83"/>
      <c r="AF463" s="83"/>
    </row>
    <row r="464" spans="2:32" x14ac:dyDescent="0.25">
      <c r="B464" s="82"/>
      <c r="R464"/>
      <c r="S464"/>
      <c r="T464"/>
      <c r="U464" s="84"/>
      <c r="W464" s="84"/>
      <c r="X464" s="84"/>
      <c r="Z464"/>
      <c r="AB464" s="84"/>
      <c r="AD464" s="83"/>
      <c r="AE464" s="83"/>
      <c r="AF464" s="83"/>
    </row>
    <row r="465" spans="2:32" x14ac:dyDescent="0.25">
      <c r="B465" s="82"/>
      <c r="R465"/>
      <c r="S465"/>
      <c r="T465"/>
      <c r="U465" s="84"/>
      <c r="W465" s="84"/>
      <c r="X465" s="84"/>
      <c r="Z465"/>
      <c r="AB465" s="84"/>
      <c r="AD465" s="83"/>
      <c r="AE465" s="83"/>
      <c r="AF465" s="83"/>
    </row>
    <row r="466" spans="2:32" x14ac:dyDescent="0.25">
      <c r="B466" s="82"/>
      <c r="R466"/>
      <c r="S466"/>
      <c r="T466"/>
      <c r="U466" s="84"/>
      <c r="W466" s="84"/>
      <c r="X466" s="84"/>
      <c r="Z466"/>
      <c r="AB466" s="84"/>
      <c r="AD466" s="83"/>
      <c r="AE466" s="83"/>
      <c r="AF466" s="83"/>
    </row>
    <row r="467" spans="2:32" x14ac:dyDescent="0.25">
      <c r="B467" s="82"/>
      <c r="R467"/>
      <c r="S467"/>
      <c r="T467"/>
      <c r="U467" s="84"/>
      <c r="W467" s="84"/>
      <c r="X467" s="84"/>
      <c r="Z467"/>
      <c r="AB467" s="84"/>
      <c r="AD467" s="83"/>
      <c r="AE467" s="83"/>
      <c r="AF467" s="83"/>
    </row>
    <row r="468" spans="2:32" x14ac:dyDescent="0.25">
      <c r="B468" s="82"/>
      <c r="R468"/>
      <c r="S468"/>
      <c r="T468"/>
      <c r="U468" s="84"/>
      <c r="W468" s="84"/>
      <c r="X468" s="84"/>
      <c r="Z468"/>
      <c r="AB468" s="84"/>
      <c r="AD468" s="83"/>
      <c r="AE468" s="83"/>
      <c r="AF468" s="83"/>
    </row>
    <row r="469" spans="2:32" x14ac:dyDescent="0.25">
      <c r="B469" s="82"/>
      <c r="R469"/>
      <c r="S469"/>
      <c r="T469"/>
      <c r="U469" s="84"/>
      <c r="W469" s="84"/>
      <c r="X469" s="84"/>
      <c r="Z469"/>
      <c r="AB469" s="84"/>
      <c r="AD469" s="83"/>
      <c r="AE469" s="83"/>
      <c r="AF469" s="83"/>
    </row>
    <row r="470" spans="2:32" x14ac:dyDescent="0.25">
      <c r="B470" s="82"/>
      <c r="R470"/>
      <c r="S470"/>
      <c r="T470"/>
      <c r="U470" s="84"/>
      <c r="W470" s="84"/>
      <c r="X470" s="84"/>
      <c r="Z470"/>
      <c r="AB470" s="84"/>
      <c r="AD470" s="83"/>
      <c r="AE470" s="83"/>
      <c r="AF470" s="83"/>
    </row>
    <row r="471" spans="2:32" x14ac:dyDescent="0.25">
      <c r="B471" s="82"/>
      <c r="R471"/>
      <c r="S471"/>
      <c r="T471"/>
      <c r="U471" s="84"/>
      <c r="W471" s="84"/>
      <c r="X471" s="84"/>
      <c r="Z471"/>
      <c r="AB471" s="84"/>
      <c r="AD471" s="83"/>
      <c r="AE471" s="83"/>
      <c r="AF471" s="83"/>
    </row>
    <row r="472" spans="2:32" x14ac:dyDescent="0.25">
      <c r="B472" s="82"/>
      <c r="R472"/>
      <c r="S472"/>
      <c r="T472"/>
      <c r="U472" s="84"/>
      <c r="W472" s="84"/>
      <c r="X472" s="84"/>
      <c r="Z472"/>
      <c r="AB472" s="84"/>
      <c r="AD472" s="83"/>
      <c r="AE472" s="83"/>
      <c r="AF472" s="83"/>
    </row>
    <row r="473" spans="2:32" x14ac:dyDescent="0.25">
      <c r="B473" s="82"/>
      <c r="R473"/>
      <c r="S473"/>
      <c r="T473"/>
      <c r="U473" s="84"/>
      <c r="W473" s="84"/>
      <c r="X473" s="84"/>
      <c r="Z473"/>
      <c r="AB473" s="84"/>
      <c r="AD473" s="83"/>
      <c r="AE473" s="83"/>
      <c r="AF473" s="83"/>
    </row>
    <row r="474" spans="2:32" x14ac:dyDescent="0.25">
      <c r="B474" s="82"/>
      <c r="R474"/>
      <c r="S474"/>
      <c r="T474"/>
      <c r="U474" s="84"/>
      <c r="W474" s="84"/>
      <c r="X474" s="84"/>
      <c r="Z474"/>
      <c r="AB474" s="84"/>
      <c r="AD474" s="83"/>
      <c r="AE474" s="83"/>
      <c r="AF474" s="83"/>
    </row>
    <row r="475" spans="2:32" x14ac:dyDescent="0.25">
      <c r="B475" s="82"/>
      <c r="R475"/>
      <c r="S475"/>
      <c r="T475"/>
      <c r="U475" s="84"/>
      <c r="W475" s="84"/>
      <c r="X475" s="84"/>
      <c r="Z475"/>
      <c r="AB475" s="84"/>
      <c r="AD475" s="83"/>
      <c r="AE475" s="83"/>
      <c r="AF475" s="83"/>
    </row>
    <row r="476" spans="2:32" x14ac:dyDescent="0.25">
      <c r="B476" s="82"/>
      <c r="R476"/>
      <c r="S476"/>
      <c r="T476"/>
      <c r="U476" s="84"/>
      <c r="W476" s="84"/>
      <c r="X476" s="84"/>
      <c r="Z476"/>
      <c r="AB476" s="84"/>
      <c r="AD476" s="83"/>
      <c r="AE476" s="83"/>
      <c r="AF476" s="83"/>
    </row>
    <row r="477" spans="2:32" x14ac:dyDescent="0.25">
      <c r="B477" s="82"/>
      <c r="R477"/>
      <c r="S477"/>
      <c r="T477"/>
      <c r="U477" s="84"/>
      <c r="W477" s="84"/>
      <c r="X477" s="84"/>
      <c r="Z477"/>
      <c r="AB477" s="84"/>
      <c r="AD477" s="83"/>
      <c r="AE477" s="83"/>
      <c r="AF477" s="83"/>
    </row>
    <row r="478" spans="2:32" x14ac:dyDescent="0.25">
      <c r="B478" s="82"/>
      <c r="R478"/>
      <c r="S478"/>
      <c r="T478"/>
      <c r="U478" s="84"/>
      <c r="W478" s="84"/>
      <c r="X478" s="84"/>
      <c r="Z478"/>
      <c r="AB478" s="84"/>
      <c r="AD478" s="83"/>
      <c r="AE478" s="83"/>
      <c r="AF478" s="83"/>
    </row>
    <row r="479" spans="2:32" x14ac:dyDescent="0.25">
      <c r="B479" s="82"/>
      <c r="R479"/>
      <c r="S479"/>
      <c r="T479"/>
      <c r="U479" s="84"/>
      <c r="W479" s="84"/>
      <c r="X479" s="84"/>
      <c r="Z479"/>
      <c r="AB479" s="84"/>
      <c r="AD479" s="83"/>
      <c r="AE479" s="83"/>
      <c r="AF479" s="83"/>
    </row>
    <row r="480" spans="2:32" x14ac:dyDescent="0.25">
      <c r="B480" s="82"/>
      <c r="R480"/>
      <c r="S480"/>
      <c r="T480"/>
      <c r="U480" s="84"/>
      <c r="W480" s="84"/>
      <c r="X480" s="84"/>
      <c r="Z480"/>
      <c r="AB480" s="84"/>
      <c r="AD480" s="83"/>
      <c r="AE480" s="83"/>
      <c r="AF480" s="83"/>
    </row>
    <row r="481" spans="2:32" x14ac:dyDescent="0.25">
      <c r="B481" s="82"/>
      <c r="R481"/>
      <c r="S481"/>
      <c r="T481"/>
      <c r="U481" s="84"/>
      <c r="W481" s="84"/>
      <c r="X481" s="84"/>
      <c r="Z481"/>
      <c r="AB481" s="84"/>
      <c r="AD481" s="83"/>
      <c r="AE481" s="83"/>
      <c r="AF481" s="83"/>
    </row>
    <row r="482" spans="2:32" x14ac:dyDescent="0.25">
      <c r="B482" s="82"/>
      <c r="R482"/>
      <c r="S482"/>
      <c r="T482"/>
      <c r="U482" s="84"/>
      <c r="W482" s="84"/>
      <c r="X482" s="84"/>
      <c r="Z482"/>
      <c r="AB482" s="84"/>
      <c r="AD482" s="83"/>
      <c r="AE482" s="83"/>
      <c r="AF482" s="83"/>
    </row>
    <row r="483" spans="2:32" x14ac:dyDescent="0.25">
      <c r="B483" s="82"/>
      <c r="R483"/>
      <c r="S483"/>
      <c r="T483"/>
      <c r="U483" s="84"/>
      <c r="W483" s="84"/>
      <c r="X483" s="84"/>
      <c r="Z483"/>
      <c r="AB483" s="84"/>
      <c r="AD483" s="83"/>
      <c r="AE483" s="83"/>
      <c r="AF483" s="83"/>
    </row>
    <row r="484" spans="2:32" x14ac:dyDescent="0.25">
      <c r="B484" s="82"/>
      <c r="R484"/>
      <c r="S484"/>
      <c r="T484"/>
      <c r="U484" s="84"/>
      <c r="W484" s="84"/>
      <c r="X484" s="84"/>
      <c r="Z484"/>
      <c r="AB484" s="84"/>
      <c r="AD484" s="83"/>
      <c r="AE484" s="83"/>
      <c r="AF484" s="83"/>
    </row>
    <row r="485" spans="2:32" x14ac:dyDescent="0.25">
      <c r="B485" s="82"/>
      <c r="R485"/>
      <c r="S485"/>
      <c r="T485"/>
      <c r="U485" s="84"/>
      <c r="W485" s="84"/>
      <c r="X485" s="84"/>
      <c r="Z485"/>
      <c r="AB485" s="84"/>
      <c r="AD485" s="83"/>
      <c r="AE485" s="83"/>
      <c r="AF485" s="83"/>
    </row>
    <row r="486" spans="2:32" x14ac:dyDescent="0.25">
      <c r="B486" s="82"/>
      <c r="R486"/>
      <c r="S486"/>
      <c r="T486"/>
      <c r="U486" s="84"/>
      <c r="W486" s="84"/>
      <c r="X486" s="84"/>
      <c r="Z486"/>
      <c r="AB486" s="84"/>
      <c r="AD486" s="83"/>
      <c r="AE486" s="83"/>
      <c r="AF486" s="83"/>
    </row>
    <row r="487" spans="2:32" x14ac:dyDescent="0.25">
      <c r="B487" s="82"/>
      <c r="R487"/>
      <c r="S487"/>
      <c r="T487"/>
      <c r="U487" s="84"/>
      <c r="W487" s="84"/>
      <c r="X487" s="84"/>
      <c r="Z487"/>
      <c r="AB487" s="84"/>
      <c r="AD487" s="83"/>
      <c r="AE487" s="83"/>
      <c r="AF487" s="83"/>
    </row>
    <row r="488" spans="2:32" x14ac:dyDescent="0.25">
      <c r="B488" s="82"/>
      <c r="R488"/>
      <c r="S488"/>
      <c r="T488"/>
      <c r="U488" s="84"/>
      <c r="W488" s="84"/>
      <c r="X488" s="84"/>
      <c r="Z488"/>
      <c r="AB488" s="84"/>
      <c r="AD488" s="83"/>
      <c r="AE488" s="83"/>
      <c r="AF488" s="83"/>
    </row>
    <row r="489" spans="2:32" x14ac:dyDescent="0.25">
      <c r="B489" s="82"/>
      <c r="R489"/>
      <c r="S489"/>
      <c r="T489"/>
      <c r="U489" s="84"/>
      <c r="W489" s="84"/>
      <c r="X489" s="84"/>
      <c r="Z489"/>
      <c r="AB489" s="84"/>
      <c r="AD489" s="83"/>
      <c r="AE489" s="83"/>
      <c r="AF489" s="83"/>
    </row>
    <row r="490" spans="2:32" x14ac:dyDescent="0.25">
      <c r="B490" s="82"/>
      <c r="R490"/>
      <c r="S490"/>
      <c r="T490"/>
      <c r="U490" s="84"/>
      <c r="W490" s="84"/>
      <c r="X490" s="84"/>
      <c r="Z490"/>
      <c r="AB490" s="84"/>
      <c r="AD490" s="83"/>
      <c r="AE490" s="83"/>
      <c r="AF490" s="83"/>
    </row>
    <row r="491" spans="2:32" x14ac:dyDescent="0.25">
      <c r="B491" s="82"/>
      <c r="R491"/>
      <c r="S491"/>
      <c r="T491"/>
      <c r="U491" s="84"/>
      <c r="W491" s="84"/>
      <c r="X491" s="84"/>
      <c r="Z491"/>
      <c r="AB491" s="84"/>
      <c r="AD491" s="83"/>
      <c r="AE491" s="83"/>
      <c r="AF491" s="83"/>
    </row>
    <row r="492" spans="2:32" x14ac:dyDescent="0.25">
      <c r="B492" s="82"/>
      <c r="R492"/>
      <c r="S492"/>
      <c r="T492"/>
      <c r="U492" s="84"/>
      <c r="W492" s="84"/>
      <c r="X492" s="84"/>
      <c r="Z492"/>
      <c r="AB492" s="84"/>
      <c r="AD492" s="83"/>
      <c r="AE492" s="83"/>
      <c r="AF492" s="83"/>
    </row>
    <row r="493" spans="2:32" x14ac:dyDescent="0.25">
      <c r="B493" s="82"/>
      <c r="R493"/>
      <c r="S493"/>
      <c r="T493"/>
      <c r="U493" s="84"/>
      <c r="W493" s="84"/>
      <c r="X493" s="84"/>
      <c r="Z493"/>
      <c r="AB493" s="84"/>
      <c r="AD493" s="83"/>
      <c r="AE493" s="83"/>
      <c r="AF493" s="83"/>
    </row>
    <row r="494" spans="2:32" x14ac:dyDescent="0.25">
      <c r="B494" s="82"/>
      <c r="R494"/>
      <c r="S494"/>
      <c r="T494"/>
      <c r="U494" s="84"/>
      <c r="W494" s="84"/>
      <c r="X494" s="84"/>
      <c r="Z494"/>
      <c r="AB494" s="84"/>
      <c r="AD494" s="83"/>
      <c r="AE494" s="83"/>
      <c r="AF494" s="83"/>
    </row>
    <row r="495" spans="2:32" x14ac:dyDescent="0.25">
      <c r="B495" s="82"/>
      <c r="R495"/>
      <c r="S495"/>
      <c r="T495"/>
      <c r="U495" s="84"/>
      <c r="W495" s="84"/>
      <c r="X495" s="84"/>
      <c r="Z495"/>
      <c r="AB495" s="84"/>
      <c r="AD495" s="83"/>
      <c r="AE495" s="83"/>
      <c r="AF495" s="83"/>
    </row>
    <row r="496" spans="2:32" x14ac:dyDescent="0.25">
      <c r="B496" s="82"/>
      <c r="R496"/>
      <c r="S496"/>
      <c r="T496"/>
      <c r="U496" s="84"/>
      <c r="W496" s="84"/>
      <c r="X496" s="84"/>
      <c r="Z496"/>
      <c r="AB496" s="84"/>
      <c r="AD496" s="83"/>
      <c r="AE496" s="83"/>
      <c r="AF496" s="83"/>
    </row>
    <row r="497" spans="2:32" x14ac:dyDescent="0.25">
      <c r="B497" s="82"/>
      <c r="R497"/>
      <c r="S497"/>
      <c r="T497"/>
      <c r="U497" s="84"/>
      <c r="W497" s="84"/>
      <c r="X497" s="84"/>
      <c r="Z497"/>
      <c r="AB497" s="84"/>
      <c r="AD497" s="83"/>
      <c r="AE497" s="83"/>
      <c r="AF497" s="83"/>
    </row>
    <row r="498" spans="2:32" x14ac:dyDescent="0.25">
      <c r="B498" s="82"/>
      <c r="R498"/>
      <c r="S498"/>
      <c r="T498"/>
      <c r="U498" s="84"/>
      <c r="W498" s="84"/>
      <c r="X498" s="84"/>
      <c r="Z498"/>
      <c r="AB498" s="84"/>
      <c r="AD498" s="83"/>
      <c r="AE498" s="83"/>
      <c r="AF498" s="83"/>
    </row>
    <row r="499" spans="2:32" x14ac:dyDescent="0.25">
      <c r="B499" s="82"/>
      <c r="R499"/>
      <c r="S499"/>
      <c r="T499"/>
      <c r="U499" s="84"/>
      <c r="W499" s="84"/>
      <c r="X499" s="84"/>
      <c r="Z499"/>
      <c r="AB499" s="84"/>
      <c r="AD499" s="83"/>
      <c r="AE499" s="83"/>
      <c r="AF499" s="83"/>
    </row>
    <row r="500" spans="2:32" x14ac:dyDescent="0.25">
      <c r="B500" s="82"/>
      <c r="R500"/>
      <c r="S500"/>
      <c r="T500"/>
      <c r="U500" s="84"/>
      <c r="W500" s="84"/>
      <c r="X500" s="84"/>
      <c r="Z500"/>
      <c r="AB500" s="84"/>
      <c r="AD500" s="83"/>
      <c r="AE500" s="83"/>
      <c r="AF500" s="83"/>
    </row>
    <row r="501" spans="2:32" x14ac:dyDescent="0.25">
      <c r="B501" s="82"/>
      <c r="R501"/>
      <c r="S501"/>
      <c r="T501"/>
      <c r="U501" s="84"/>
      <c r="W501" s="84"/>
      <c r="X501" s="84"/>
      <c r="Z501"/>
      <c r="AB501" s="84"/>
      <c r="AD501" s="83"/>
      <c r="AE501" s="83"/>
      <c r="AF501" s="83"/>
    </row>
    <row r="502" spans="2:32" x14ac:dyDescent="0.25">
      <c r="B502" s="82"/>
      <c r="R502"/>
      <c r="S502"/>
      <c r="T502"/>
      <c r="U502" s="84"/>
      <c r="W502" s="84"/>
      <c r="X502" s="84"/>
      <c r="Z502"/>
      <c r="AB502" s="84"/>
      <c r="AD502" s="83"/>
      <c r="AE502" s="83"/>
      <c r="AF502" s="83"/>
    </row>
    <row r="503" spans="2:32" x14ac:dyDescent="0.25">
      <c r="B503" s="82"/>
      <c r="R503"/>
      <c r="S503"/>
      <c r="T503"/>
      <c r="U503" s="84"/>
      <c r="W503" s="84"/>
      <c r="X503" s="84"/>
      <c r="Z503"/>
      <c r="AB503" s="84"/>
      <c r="AD503" s="83"/>
      <c r="AE503" s="83"/>
      <c r="AF503" s="83"/>
    </row>
    <row r="504" spans="2:32" x14ac:dyDescent="0.25">
      <c r="B504" s="82"/>
      <c r="R504"/>
      <c r="S504"/>
      <c r="T504"/>
      <c r="U504" s="84"/>
      <c r="W504" s="84"/>
      <c r="X504" s="84"/>
      <c r="Z504"/>
      <c r="AB504" s="84"/>
      <c r="AD504" s="83"/>
      <c r="AE504" s="83"/>
      <c r="AF504" s="83"/>
    </row>
    <row r="505" spans="2:32" x14ac:dyDescent="0.25">
      <c r="B505" s="82"/>
      <c r="R505"/>
      <c r="S505"/>
      <c r="T505"/>
      <c r="U505" s="84"/>
      <c r="W505" s="84"/>
      <c r="X505" s="84"/>
      <c r="Z505"/>
      <c r="AB505" s="84"/>
      <c r="AD505" s="83"/>
      <c r="AE505" s="83"/>
      <c r="AF505" s="83"/>
    </row>
    <row r="506" spans="2:32" x14ac:dyDescent="0.25">
      <c r="B506" s="82"/>
      <c r="R506"/>
      <c r="S506"/>
      <c r="T506"/>
      <c r="U506" s="84"/>
      <c r="W506" s="84"/>
      <c r="X506" s="84"/>
      <c r="Z506"/>
      <c r="AB506" s="84"/>
      <c r="AD506" s="83"/>
      <c r="AE506" s="83"/>
      <c r="AF506" s="83"/>
    </row>
    <row r="507" spans="2:32" x14ac:dyDescent="0.25">
      <c r="B507" s="82"/>
      <c r="R507"/>
      <c r="S507"/>
      <c r="T507"/>
      <c r="U507" s="84"/>
      <c r="W507" s="84"/>
      <c r="X507" s="84"/>
      <c r="Z507"/>
      <c r="AB507" s="84"/>
      <c r="AD507" s="83"/>
      <c r="AE507" s="83"/>
      <c r="AF507" s="83"/>
    </row>
    <row r="508" spans="2:32" x14ac:dyDescent="0.25">
      <c r="B508" s="82"/>
      <c r="R508"/>
      <c r="S508"/>
      <c r="T508"/>
      <c r="U508" s="84"/>
      <c r="W508" s="84"/>
      <c r="X508" s="84"/>
      <c r="Z508"/>
      <c r="AB508" s="84"/>
      <c r="AD508" s="83"/>
      <c r="AE508" s="83"/>
      <c r="AF508" s="83"/>
    </row>
    <row r="509" spans="2:32" x14ac:dyDescent="0.25">
      <c r="B509" s="82"/>
      <c r="R509"/>
      <c r="S509"/>
      <c r="T509"/>
      <c r="U509" s="84"/>
      <c r="W509" s="84"/>
      <c r="X509" s="84"/>
      <c r="Z509"/>
      <c r="AB509" s="84"/>
      <c r="AD509" s="83"/>
      <c r="AE509" s="83"/>
      <c r="AF509" s="83"/>
    </row>
    <row r="510" spans="2:32" x14ac:dyDescent="0.25">
      <c r="B510" s="82"/>
      <c r="R510"/>
      <c r="S510"/>
      <c r="T510"/>
      <c r="U510" s="84"/>
      <c r="W510" s="84"/>
      <c r="X510" s="84"/>
      <c r="Z510"/>
      <c r="AB510" s="84"/>
      <c r="AD510" s="83"/>
      <c r="AE510" s="83"/>
      <c r="AF510" s="83"/>
    </row>
    <row r="511" spans="2:32" x14ac:dyDescent="0.25">
      <c r="B511" s="82"/>
      <c r="R511"/>
      <c r="S511"/>
      <c r="T511"/>
      <c r="U511" s="84"/>
      <c r="W511" s="84"/>
      <c r="X511" s="84"/>
      <c r="Z511"/>
      <c r="AB511" s="84"/>
      <c r="AD511" s="83"/>
      <c r="AE511" s="83"/>
      <c r="AF511" s="83"/>
    </row>
    <row r="512" spans="2:32" x14ac:dyDescent="0.25">
      <c r="B512" s="82"/>
      <c r="R512"/>
      <c r="S512"/>
      <c r="T512"/>
      <c r="U512" s="84"/>
      <c r="W512" s="84"/>
      <c r="X512" s="84"/>
      <c r="Z512"/>
      <c r="AB512" s="84"/>
      <c r="AD512" s="83"/>
      <c r="AE512" s="83"/>
      <c r="AF512" s="83"/>
    </row>
    <row r="513" spans="2:32" x14ac:dyDescent="0.25">
      <c r="B513" s="82"/>
      <c r="R513"/>
      <c r="S513"/>
      <c r="T513"/>
      <c r="U513" s="84"/>
      <c r="W513" s="84"/>
      <c r="X513" s="84"/>
      <c r="Z513"/>
      <c r="AB513" s="84"/>
      <c r="AD513" s="83"/>
      <c r="AE513" s="83"/>
      <c r="AF513" s="83"/>
    </row>
    <row r="514" spans="2:32" x14ac:dyDescent="0.25">
      <c r="B514" s="82"/>
      <c r="R514"/>
      <c r="S514"/>
      <c r="T514"/>
      <c r="U514" s="84"/>
      <c r="W514" s="84"/>
      <c r="X514" s="84"/>
      <c r="Z514"/>
      <c r="AB514" s="84"/>
      <c r="AD514" s="83"/>
      <c r="AE514" s="83"/>
      <c r="AF514" s="83"/>
    </row>
    <row r="515" spans="2:32" x14ac:dyDescent="0.25">
      <c r="B515" s="82"/>
      <c r="R515"/>
      <c r="S515"/>
      <c r="T515"/>
      <c r="U515" s="84"/>
      <c r="W515" s="84"/>
      <c r="X515" s="84"/>
      <c r="Z515"/>
      <c r="AB515" s="84"/>
      <c r="AD515" s="83"/>
      <c r="AE515" s="83"/>
      <c r="AF515" s="83"/>
    </row>
    <row r="516" spans="2:32" x14ac:dyDescent="0.25">
      <c r="B516" s="82"/>
      <c r="R516"/>
      <c r="S516"/>
      <c r="T516"/>
      <c r="U516" s="84"/>
      <c r="W516" s="84"/>
      <c r="X516" s="84"/>
      <c r="Z516"/>
      <c r="AB516" s="84"/>
      <c r="AD516" s="83"/>
      <c r="AE516" s="83"/>
      <c r="AF516" s="83"/>
    </row>
    <row r="517" spans="2:32" x14ac:dyDescent="0.25">
      <c r="B517" s="82"/>
      <c r="R517"/>
      <c r="S517"/>
      <c r="T517"/>
      <c r="U517" s="84"/>
      <c r="W517" s="84"/>
      <c r="X517" s="84"/>
      <c r="Z517"/>
      <c r="AB517" s="84"/>
      <c r="AD517" s="83"/>
      <c r="AE517" s="83"/>
      <c r="AF517" s="83"/>
    </row>
    <row r="518" spans="2:32" x14ac:dyDescent="0.25">
      <c r="B518" s="82"/>
      <c r="R518"/>
      <c r="S518"/>
      <c r="T518"/>
      <c r="U518" s="84"/>
      <c r="W518" s="84"/>
      <c r="X518" s="84"/>
      <c r="Z518"/>
      <c r="AB518" s="84"/>
      <c r="AD518" s="83"/>
      <c r="AE518" s="83"/>
      <c r="AF518" s="83"/>
    </row>
    <row r="519" spans="2:32" x14ac:dyDescent="0.25">
      <c r="B519" s="82"/>
      <c r="R519"/>
      <c r="S519"/>
      <c r="T519"/>
      <c r="U519" s="84"/>
      <c r="W519" s="84"/>
      <c r="X519" s="84"/>
      <c r="Z519"/>
      <c r="AB519" s="84"/>
      <c r="AD519" s="83"/>
      <c r="AE519" s="83"/>
      <c r="AF519" s="83"/>
    </row>
    <row r="520" spans="2:32" x14ac:dyDescent="0.25">
      <c r="B520" s="82"/>
      <c r="R520"/>
      <c r="S520"/>
      <c r="T520"/>
      <c r="U520" s="84"/>
      <c r="W520" s="84"/>
      <c r="X520" s="84"/>
      <c r="Z520"/>
      <c r="AB520" s="84"/>
      <c r="AD520" s="83"/>
      <c r="AE520" s="83"/>
      <c r="AF520" s="83"/>
    </row>
    <row r="521" spans="2:32" x14ac:dyDescent="0.25">
      <c r="B521" s="82"/>
      <c r="R521"/>
      <c r="S521"/>
      <c r="T521"/>
      <c r="U521" s="84"/>
      <c r="W521" s="84"/>
      <c r="X521" s="84"/>
      <c r="Z521"/>
      <c r="AB521" s="84"/>
      <c r="AD521" s="83"/>
      <c r="AE521" s="83"/>
      <c r="AF521" s="83"/>
    </row>
    <row r="522" spans="2:32" x14ac:dyDescent="0.25">
      <c r="B522" s="82"/>
      <c r="R522"/>
      <c r="S522"/>
      <c r="T522"/>
      <c r="U522" s="84"/>
      <c r="W522" s="84"/>
      <c r="X522" s="84"/>
      <c r="Z522"/>
      <c r="AB522" s="84"/>
      <c r="AD522" s="83"/>
      <c r="AE522" s="83"/>
      <c r="AF522" s="83"/>
    </row>
    <row r="523" spans="2:32" x14ac:dyDescent="0.25">
      <c r="B523" s="82"/>
      <c r="R523"/>
      <c r="S523"/>
      <c r="T523"/>
      <c r="U523" s="84"/>
      <c r="W523" s="84"/>
      <c r="X523" s="84"/>
      <c r="Z523"/>
      <c r="AB523" s="84"/>
      <c r="AD523" s="83"/>
      <c r="AE523" s="83"/>
      <c r="AF523" s="83"/>
    </row>
    <row r="524" spans="2:32" x14ac:dyDescent="0.25">
      <c r="B524" s="82"/>
      <c r="R524"/>
      <c r="S524"/>
      <c r="T524"/>
      <c r="U524" s="84"/>
      <c r="W524" s="84"/>
      <c r="X524" s="84"/>
      <c r="Z524"/>
      <c r="AB524" s="84"/>
      <c r="AD524" s="83"/>
      <c r="AE524" s="83"/>
      <c r="AF524" s="83"/>
    </row>
    <row r="525" spans="2:32" x14ac:dyDescent="0.25">
      <c r="B525" s="82"/>
      <c r="R525"/>
      <c r="S525"/>
      <c r="T525"/>
      <c r="U525" s="84"/>
      <c r="W525" s="84"/>
      <c r="X525" s="84"/>
      <c r="Z525"/>
      <c r="AB525" s="84"/>
      <c r="AD525" s="83"/>
      <c r="AE525" s="83"/>
      <c r="AF525" s="83"/>
    </row>
    <row r="526" spans="2:32" x14ac:dyDescent="0.25">
      <c r="B526" s="82"/>
      <c r="R526"/>
      <c r="S526"/>
      <c r="T526"/>
      <c r="U526" s="84"/>
      <c r="W526" s="84"/>
      <c r="X526" s="84"/>
      <c r="Z526"/>
      <c r="AB526" s="84"/>
      <c r="AD526" s="83"/>
      <c r="AE526" s="83"/>
      <c r="AF526" s="83"/>
    </row>
    <row r="527" spans="2:32" x14ac:dyDescent="0.25">
      <c r="B527" s="82"/>
      <c r="R527"/>
      <c r="S527"/>
      <c r="T527"/>
      <c r="U527" s="84"/>
      <c r="W527" s="84"/>
      <c r="X527" s="84"/>
      <c r="Z527"/>
      <c r="AB527" s="84"/>
      <c r="AD527" s="83"/>
      <c r="AE527" s="83"/>
      <c r="AF527" s="83"/>
    </row>
    <row r="528" spans="2:32" x14ac:dyDescent="0.25">
      <c r="B528" s="82"/>
      <c r="R528"/>
      <c r="S528"/>
      <c r="T528"/>
      <c r="U528" s="84"/>
      <c r="W528" s="84"/>
      <c r="X528" s="84"/>
      <c r="Z528"/>
      <c r="AB528" s="84"/>
      <c r="AD528" s="83"/>
      <c r="AE528" s="83"/>
      <c r="AF528" s="83"/>
    </row>
    <row r="529" spans="2:32" x14ac:dyDescent="0.25">
      <c r="B529" s="82"/>
      <c r="R529"/>
      <c r="S529"/>
      <c r="T529"/>
      <c r="U529" s="84"/>
      <c r="W529" s="84"/>
      <c r="X529" s="84"/>
      <c r="Z529"/>
      <c r="AB529" s="84"/>
      <c r="AD529" s="83"/>
      <c r="AE529" s="83"/>
      <c r="AF529" s="83"/>
    </row>
    <row r="530" spans="2:32" x14ac:dyDescent="0.25">
      <c r="B530" s="82"/>
      <c r="R530"/>
      <c r="S530"/>
      <c r="T530"/>
      <c r="U530" s="84"/>
      <c r="W530" s="84"/>
      <c r="X530" s="84"/>
      <c r="Z530"/>
      <c r="AB530" s="84"/>
      <c r="AD530" s="83"/>
      <c r="AE530" s="83"/>
      <c r="AF530" s="83"/>
    </row>
    <row r="531" spans="2:32" x14ac:dyDescent="0.25">
      <c r="B531" s="82"/>
      <c r="R531"/>
      <c r="S531"/>
      <c r="T531"/>
      <c r="U531" s="84"/>
      <c r="W531" s="84"/>
      <c r="X531" s="84"/>
      <c r="Z531"/>
      <c r="AB531" s="84"/>
      <c r="AD531" s="83"/>
      <c r="AE531" s="83"/>
      <c r="AF531" s="83"/>
    </row>
    <row r="532" spans="2:32" x14ac:dyDescent="0.25">
      <c r="B532" s="82"/>
      <c r="R532"/>
      <c r="S532"/>
      <c r="T532"/>
      <c r="U532" s="84"/>
      <c r="W532" s="84"/>
      <c r="X532" s="84"/>
      <c r="Z532"/>
      <c r="AB532" s="84"/>
      <c r="AD532" s="83"/>
      <c r="AE532" s="83"/>
      <c r="AF532" s="83"/>
    </row>
    <row r="533" spans="2:32" x14ac:dyDescent="0.25">
      <c r="B533" s="82"/>
      <c r="R533"/>
      <c r="S533"/>
      <c r="T533"/>
      <c r="U533" s="84"/>
      <c r="W533" s="84"/>
      <c r="X533" s="84"/>
      <c r="Z533"/>
      <c r="AB533" s="84"/>
      <c r="AD533" s="83"/>
      <c r="AE533" s="83"/>
      <c r="AF533" s="83"/>
    </row>
    <row r="534" spans="2:32" x14ac:dyDescent="0.25">
      <c r="B534" s="82"/>
      <c r="R534"/>
      <c r="S534"/>
      <c r="T534"/>
      <c r="U534" s="84"/>
      <c r="W534" s="84"/>
      <c r="X534" s="84"/>
      <c r="Z534"/>
      <c r="AB534" s="84"/>
      <c r="AD534" s="83"/>
      <c r="AE534" s="83"/>
      <c r="AF534" s="83"/>
    </row>
    <row r="535" spans="2:32" x14ac:dyDescent="0.25">
      <c r="B535" s="82"/>
      <c r="R535"/>
      <c r="S535"/>
      <c r="T535"/>
      <c r="U535" s="84"/>
      <c r="W535" s="84"/>
      <c r="X535" s="84"/>
      <c r="Z535"/>
      <c r="AB535" s="84"/>
      <c r="AD535" s="83"/>
      <c r="AE535" s="83"/>
      <c r="AF535" s="83"/>
    </row>
    <row r="536" spans="2:32" x14ac:dyDescent="0.25">
      <c r="B536" s="82"/>
      <c r="R536"/>
      <c r="S536"/>
      <c r="T536"/>
      <c r="U536" s="84"/>
      <c r="W536" s="84"/>
      <c r="X536" s="84"/>
      <c r="Z536"/>
      <c r="AB536" s="84"/>
      <c r="AD536" s="83"/>
      <c r="AE536" s="83"/>
      <c r="AF536" s="83"/>
    </row>
    <row r="537" spans="2:32" x14ac:dyDescent="0.25">
      <c r="B537" s="82"/>
      <c r="R537"/>
      <c r="S537"/>
      <c r="T537"/>
      <c r="U537" s="84"/>
      <c r="W537" s="84"/>
      <c r="X537" s="84"/>
      <c r="Z537"/>
      <c r="AB537" s="84"/>
      <c r="AD537" s="83"/>
      <c r="AE537" s="83"/>
      <c r="AF537" s="83"/>
    </row>
    <row r="538" spans="2:32" x14ac:dyDescent="0.25">
      <c r="B538" s="82"/>
      <c r="R538"/>
      <c r="S538"/>
      <c r="T538"/>
      <c r="U538" s="84"/>
      <c r="W538" s="84"/>
      <c r="X538" s="84"/>
      <c r="Z538"/>
      <c r="AB538" s="84"/>
      <c r="AD538" s="83"/>
      <c r="AE538" s="83"/>
      <c r="AF538" s="83"/>
    </row>
    <row r="539" spans="2:32" x14ac:dyDescent="0.25">
      <c r="B539" s="82"/>
      <c r="R539"/>
      <c r="S539"/>
      <c r="T539"/>
      <c r="U539" s="84"/>
      <c r="W539" s="84"/>
      <c r="X539" s="84"/>
      <c r="Z539"/>
      <c r="AB539" s="84"/>
      <c r="AD539" s="83"/>
      <c r="AE539" s="83"/>
      <c r="AF539" s="83"/>
    </row>
    <row r="540" spans="2:32" x14ac:dyDescent="0.25">
      <c r="B540" s="82"/>
      <c r="R540"/>
      <c r="S540"/>
      <c r="T540"/>
      <c r="U540" s="84"/>
      <c r="W540" s="84"/>
      <c r="X540" s="84"/>
      <c r="Z540"/>
      <c r="AB540" s="84"/>
      <c r="AD540" s="83"/>
      <c r="AE540" s="83"/>
      <c r="AF540" s="83"/>
    </row>
    <row r="541" spans="2:32" x14ac:dyDescent="0.25">
      <c r="B541" s="82"/>
      <c r="R541"/>
      <c r="S541"/>
      <c r="T541"/>
      <c r="U541" s="84"/>
      <c r="W541" s="84"/>
      <c r="X541" s="84"/>
      <c r="Z541"/>
      <c r="AB541" s="84"/>
      <c r="AD541" s="83"/>
      <c r="AE541" s="83"/>
      <c r="AF541" s="83"/>
    </row>
    <row r="542" spans="2:32" x14ac:dyDescent="0.25">
      <c r="B542" s="82"/>
      <c r="R542"/>
      <c r="S542"/>
      <c r="T542"/>
      <c r="U542" s="84"/>
      <c r="W542" s="84"/>
      <c r="X542" s="84"/>
      <c r="Z542"/>
      <c r="AB542" s="84"/>
      <c r="AD542" s="83"/>
      <c r="AE542" s="83"/>
      <c r="AF542" s="83"/>
    </row>
    <row r="543" spans="2:32" x14ac:dyDescent="0.25">
      <c r="B543" s="82"/>
      <c r="R543"/>
      <c r="S543"/>
      <c r="T543"/>
      <c r="U543" s="84"/>
      <c r="W543" s="84"/>
      <c r="X543" s="84"/>
      <c r="Z543"/>
      <c r="AB543" s="84"/>
      <c r="AD543" s="83"/>
      <c r="AE543" s="83"/>
      <c r="AF543" s="83"/>
    </row>
    <row r="544" spans="2:32" x14ac:dyDescent="0.25">
      <c r="B544" s="82"/>
      <c r="R544"/>
      <c r="S544"/>
      <c r="T544"/>
      <c r="U544" s="84"/>
      <c r="W544" s="84"/>
      <c r="X544" s="84"/>
      <c r="Z544"/>
      <c r="AB544" s="84"/>
      <c r="AD544" s="83"/>
      <c r="AE544" s="83"/>
      <c r="AF544" s="83"/>
    </row>
    <row r="545" spans="2:32" x14ac:dyDescent="0.25">
      <c r="B545" s="82"/>
      <c r="R545"/>
      <c r="S545"/>
      <c r="T545"/>
      <c r="U545" s="84"/>
      <c r="W545" s="84"/>
      <c r="X545" s="84"/>
      <c r="Z545"/>
      <c r="AB545" s="84"/>
      <c r="AD545" s="83"/>
      <c r="AE545" s="83"/>
      <c r="AF545" s="83"/>
    </row>
    <row r="546" spans="2:32" x14ac:dyDescent="0.25">
      <c r="B546" s="82"/>
      <c r="R546"/>
      <c r="S546"/>
      <c r="T546"/>
      <c r="U546" s="84"/>
      <c r="W546" s="84"/>
      <c r="X546" s="84"/>
      <c r="Z546"/>
      <c r="AB546" s="84"/>
      <c r="AD546" s="83"/>
      <c r="AE546" s="83"/>
      <c r="AF546" s="83"/>
    </row>
    <row r="547" spans="2:32" x14ac:dyDescent="0.25">
      <c r="B547" s="82"/>
      <c r="R547"/>
      <c r="S547"/>
      <c r="T547"/>
      <c r="U547" s="84"/>
      <c r="W547" s="84"/>
      <c r="X547" s="84"/>
      <c r="Z547"/>
      <c r="AB547" s="84"/>
      <c r="AD547" s="83"/>
      <c r="AE547" s="83"/>
      <c r="AF547" s="83"/>
    </row>
    <row r="548" spans="2:32" x14ac:dyDescent="0.25">
      <c r="B548" s="82"/>
      <c r="R548"/>
      <c r="S548"/>
      <c r="T548"/>
      <c r="U548" s="84"/>
      <c r="W548" s="84"/>
      <c r="X548" s="84"/>
      <c r="Z548"/>
      <c r="AB548" s="84"/>
      <c r="AD548" s="83"/>
      <c r="AE548" s="83"/>
      <c r="AF548" s="83"/>
    </row>
    <row r="549" spans="2:32" x14ac:dyDescent="0.25">
      <c r="B549" s="82"/>
      <c r="R549"/>
      <c r="S549"/>
      <c r="T549"/>
      <c r="U549" s="84"/>
      <c r="W549" s="84"/>
      <c r="X549" s="84"/>
      <c r="Z549"/>
      <c r="AB549" s="84"/>
      <c r="AD549" s="83"/>
      <c r="AE549" s="83"/>
      <c r="AF549" s="83"/>
    </row>
    <row r="550" spans="2:32" x14ac:dyDescent="0.25">
      <c r="B550" s="82"/>
      <c r="R550"/>
      <c r="S550"/>
      <c r="T550"/>
      <c r="U550" s="84"/>
      <c r="W550" s="84"/>
      <c r="X550" s="84"/>
      <c r="Z550"/>
      <c r="AB550" s="84"/>
      <c r="AD550" s="83"/>
      <c r="AE550" s="83"/>
      <c r="AF550" s="83"/>
    </row>
    <row r="551" spans="2:32" x14ac:dyDescent="0.25">
      <c r="B551" s="82"/>
      <c r="R551"/>
      <c r="S551"/>
      <c r="T551"/>
      <c r="U551" s="84"/>
      <c r="W551" s="84"/>
      <c r="X551" s="84"/>
      <c r="Z551"/>
      <c r="AB551" s="84"/>
      <c r="AD551" s="83"/>
      <c r="AE551" s="83"/>
      <c r="AF551" s="83"/>
    </row>
    <row r="552" spans="2:32" x14ac:dyDescent="0.25">
      <c r="B552" s="82"/>
      <c r="R552"/>
      <c r="S552"/>
      <c r="T552"/>
      <c r="U552" s="84"/>
      <c r="W552" s="84"/>
      <c r="X552" s="84"/>
      <c r="Z552"/>
      <c r="AB552" s="84"/>
      <c r="AD552" s="83"/>
      <c r="AE552" s="83"/>
      <c r="AF552" s="83"/>
    </row>
    <row r="553" spans="2:32" x14ac:dyDescent="0.25">
      <c r="B553" s="82"/>
      <c r="R553"/>
      <c r="S553"/>
      <c r="T553"/>
      <c r="U553" s="84"/>
      <c r="W553" s="84"/>
      <c r="X553" s="84"/>
      <c r="Z553"/>
      <c r="AB553" s="84"/>
      <c r="AD553" s="83"/>
      <c r="AE553" s="83"/>
      <c r="AF553" s="83"/>
    </row>
    <row r="554" spans="2:32" x14ac:dyDescent="0.25">
      <c r="B554" s="82"/>
      <c r="R554"/>
      <c r="S554"/>
      <c r="T554"/>
      <c r="U554" s="84"/>
      <c r="W554" s="84"/>
      <c r="X554" s="84"/>
      <c r="Z554"/>
      <c r="AB554" s="84"/>
      <c r="AD554" s="83"/>
      <c r="AE554" s="83"/>
      <c r="AF554" s="83"/>
    </row>
    <row r="555" spans="2:32" x14ac:dyDescent="0.25">
      <c r="B555" s="82"/>
      <c r="R555"/>
      <c r="S555"/>
      <c r="T555"/>
      <c r="U555" s="84"/>
      <c r="W555" s="84"/>
      <c r="X555" s="84"/>
      <c r="Z555"/>
      <c r="AB555" s="84"/>
      <c r="AD555" s="83"/>
      <c r="AE555" s="83"/>
      <c r="AF555" s="83"/>
    </row>
    <row r="556" spans="2:32" x14ac:dyDescent="0.25">
      <c r="B556" s="82"/>
      <c r="R556"/>
      <c r="S556"/>
      <c r="T556"/>
      <c r="U556" s="84"/>
      <c r="W556" s="84"/>
      <c r="X556" s="84"/>
      <c r="Z556"/>
      <c r="AB556" s="84"/>
      <c r="AD556" s="83"/>
      <c r="AE556" s="83"/>
      <c r="AF556" s="83"/>
    </row>
    <row r="557" spans="2:32" x14ac:dyDescent="0.25">
      <c r="B557" s="82"/>
      <c r="R557"/>
      <c r="S557"/>
      <c r="T557"/>
      <c r="U557" s="84"/>
      <c r="W557" s="84"/>
      <c r="X557" s="84"/>
      <c r="Z557"/>
      <c r="AB557" s="84"/>
      <c r="AD557" s="83"/>
      <c r="AE557" s="83"/>
      <c r="AF557" s="83"/>
    </row>
    <row r="558" spans="2:32" x14ac:dyDescent="0.25">
      <c r="B558" s="82"/>
      <c r="R558"/>
      <c r="S558"/>
      <c r="T558"/>
      <c r="U558" s="84"/>
      <c r="W558" s="84"/>
      <c r="X558" s="84"/>
      <c r="Z558"/>
      <c r="AB558" s="84"/>
      <c r="AD558" s="83"/>
      <c r="AE558" s="83"/>
      <c r="AF558" s="83"/>
    </row>
    <row r="559" spans="2:32" x14ac:dyDescent="0.25">
      <c r="B559" s="82"/>
      <c r="R559"/>
      <c r="S559"/>
      <c r="T559"/>
      <c r="U559" s="84"/>
      <c r="W559" s="84"/>
      <c r="X559" s="84"/>
      <c r="Z559"/>
      <c r="AB559" s="84"/>
      <c r="AD559" s="83"/>
      <c r="AE559" s="83"/>
      <c r="AF559" s="83"/>
    </row>
    <row r="560" spans="2:32" x14ac:dyDescent="0.25">
      <c r="B560" s="82"/>
      <c r="R560"/>
      <c r="S560"/>
      <c r="T560"/>
      <c r="U560" s="84"/>
      <c r="W560" s="84"/>
      <c r="X560" s="84"/>
      <c r="Z560"/>
      <c r="AB560" s="84"/>
      <c r="AD560" s="83"/>
      <c r="AE560" s="83"/>
      <c r="AF560" s="83"/>
    </row>
    <row r="561" spans="2:32" x14ac:dyDescent="0.25">
      <c r="B561" s="82"/>
      <c r="R561"/>
      <c r="S561"/>
      <c r="T561"/>
      <c r="U561" s="84"/>
      <c r="W561" s="84"/>
      <c r="X561" s="84"/>
      <c r="Z561"/>
      <c r="AB561" s="84"/>
      <c r="AD561" s="83"/>
      <c r="AE561" s="83"/>
      <c r="AF561" s="83"/>
    </row>
    <row r="562" spans="2:32" x14ac:dyDescent="0.25">
      <c r="B562" s="82"/>
      <c r="R562"/>
      <c r="S562"/>
      <c r="T562"/>
      <c r="U562" s="84"/>
      <c r="W562" s="84"/>
      <c r="X562" s="84"/>
      <c r="Z562"/>
      <c r="AB562" s="84"/>
      <c r="AD562" s="83"/>
      <c r="AE562" s="83"/>
      <c r="AF562" s="83"/>
    </row>
    <row r="563" spans="2:32" x14ac:dyDescent="0.25">
      <c r="B563" s="82"/>
      <c r="R563"/>
      <c r="S563"/>
      <c r="T563"/>
      <c r="U563" s="84"/>
      <c r="W563" s="84"/>
      <c r="X563" s="84"/>
      <c r="Z563"/>
      <c r="AB563" s="84"/>
      <c r="AD563" s="83"/>
      <c r="AE563" s="83"/>
      <c r="AF563" s="83"/>
    </row>
    <row r="564" spans="2:32" x14ac:dyDescent="0.25">
      <c r="B564" s="82"/>
      <c r="R564"/>
      <c r="S564"/>
      <c r="T564"/>
      <c r="U564" s="84"/>
      <c r="W564" s="84"/>
      <c r="X564" s="84"/>
      <c r="Z564"/>
      <c r="AB564" s="84"/>
      <c r="AD564" s="83"/>
      <c r="AE564" s="83"/>
      <c r="AF564" s="83"/>
    </row>
    <row r="565" spans="2:32" x14ac:dyDescent="0.25">
      <c r="B565" s="82"/>
      <c r="R565"/>
      <c r="S565"/>
      <c r="T565"/>
      <c r="U565" s="84"/>
      <c r="W565" s="84"/>
      <c r="X565" s="84"/>
      <c r="Z565"/>
      <c r="AB565" s="84"/>
      <c r="AD565" s="83"/>
      <c r="AE565" s="83"/>
      <c r="AF565" s="83"/>
    </row>
    <row r="566" spans="2:32" x14ac:dyDescent="0.25">
      <c r="B566" s="82"/>
      <c r="R566"/>
      <c r="S566"/>
      <c r="T566"/>
      <c r="U566" s="84"/>
      <c r="W566" s="84"/>
      <c r="X566" s="84"/>
      <c r="Z566"/>
      <c r="AB566" s="84"/>
      <c r="AD566" s="83"/>
      <c r="AE566" s="83"/>
      <c r="AF566" s="83"/>
    </row>
    <row r="567" spans="2:32" x14ac:dyDescent="0.25">
      <c r="B567" s="82"/>
      <c r="R567"/>
      <c r="S567"/>
      <c r="T567"/>
      <c r="U567" s="84"/>
      <c r="W567" s="84"/>
      <c r="X567" s="84"/>
      <c r="Z567"/>
      <c r="AB567" s="84"/>
      <c r="AD567" s="83"/>
      <c r="AE567" s="83"/>
      <c r="AF567" s="83"/>
    </row>
    <row r="568" spans="2:32" x14ac:dyDescent="0.25">
      <c r="B568" s="82"/>
      <c r="R568"/>
      <c r="S568"/>
      <c r="T568"/>
      <c r="U568" s="84"/>
      <c r="W568" s="84"/>
      <c r="X568" s="84"/>
      <c r="Z568"/>
      <c r="AB568" s="84"/>
      <c r="AD568" s="83"/>
      <c r="AE568" s="83"/>
      <c r="AF568" s="83"/>
    </row>
    <row r="569" spans="2:32" x14ac:dyDescent="0.25">
      <c r="B569" s="82"/>
      <c r="R569"/>
      <c r="S569"/>
      <c r="T569"/>
      <c r="U569" s="84"/>
      <c r="W569" s="84"/>
      <c r="X569" s="84"/>
      <c r="Z569"/>
      <c r="AB569" s="84"/>
      <c r="AD569" s="83"/>
      <c r="AE569" s="83"/>
      <c r="AF569" s="83"/>
    </row>
    <row r="570" spans="2:32" x14ac:dyDescent="0.25">
      <c r="B570" s="82"/>
      <c r="R570"/>
      <c r="S570"/>
      <c r="T570"/>
      <c r="U570" s="84"/>
      <c r="W570" s="84"/>
      <c r="X570" s="84"/>
      <c r="Z570"/>
      <c r="AB570" s="84"/>
      <c r="AD570" s="83"/>
      <c r="AE570" s="83"/>
      <c r="AF570" s="83"/>
    </row>
    <row r="571" spans="2:32" x14ac:dyDescent="0.25">
      <c r="B571" s="82"/>
      <c r="R571"/>
      <c r="S571"/>
      <c r="T571"/>
      <c r="U571" s="84"/>
      <c r="W571" s="84"/>
      <c r="X571" s="84"/>
      <c r="Z571"/>
      <c r="AB571" s="84"/>
      <c r="AD571" s="83"/>
      <c r="AE571" s="83"/>
      <c r="AF571" s="83"/>
    </row>
    <row r="572" spans="2:32" x14ac:dyDescent="0.25">
      <c r="B572" s="82"/>
      <c r="R572"/>
      <c r="S572"/>
      <c r="T572"/>
      <c r="U572" s="84"/>
      <c r="W572" s="84"/>
      <c r="X572" s="84"/>
      <c r="Z572"/>
      <c r="AB572" s="84"/>
      <c r="AD572" s="83"/>
      <c r="AE572" s="83"/>
      <c r="AF572" s="83"/>
    </row>
    <row r="573" spans="2:32" x14ac:dyDescent="0.25">
      <c r="B573" s="82"/>
      <c r="R573"/>
      <c r="S573"/>
      <c r="T573"/>
      <c r="U573" s="84"/>
      <c r="W573" s="84"/>
      <c r="X573" s="84"/>
      <c r="Z573"/>
      <c r="AB573" s="84"/>
      <c r="AD573" s="83"/>
      <c r="AE573" s="83"/>
      <c r="AF573" s="83"/>
    </row>
    <row r="574" spans="2:32" x14ac:dyDescent="0.25">
      <c r="B574" s="82"/>
      <c r="R574"/>
      <c r="S574"/>
      <c r="T574"/>
      <c r="U574" s="84"/>
      <c r="W574" s="84"/>
      <c r="X574" s="84"/>
      <c r="Z574"/>
      <c r="AB574" s="84"/>
      <c r="AD574" s="83"/>
      <c r="AE574" s="83"/>
      <c r="AF574" s="83"/>
    </row>
    <row r="575" spans="2:32" x14ac:dyDescent="0.25">
      <c r="B575" s="82"/>
      <c r="R575"/>
      <c r="S575"/>
      <c r="T575"/>
      <c r="U575" s="84"/>
      <c r="W575" s="84"/>
      <c r="X575" s="84"/>
      <c r="Z575"/>
      <c r="AB575" s="84"/>
      <c r="AD575" s="83"/>
      <c r="AE575" s="83"/>
      <c r="AF575" s="83"/>
    </row>
    <row r="576" spans="2:32" x14ac:dyDescent="0.25">
      <c r="B576" s="82"/>
      <c r="R576"/>
      <c r="S576"/>
      <c r="T576"/>
      <c r="U576" s="84"/>
      <c r="W576" s="84"/>
      <c r="X576" s="84"/>
      <c r="Z576"/>
      <c r="AB576" s="84"/>
      <c r="AD576" s="83"/>
      <c r="AE576" s="83"/>
      <c r="AF576" s="83"/>
    </row>
    <row r="577" spans="2:32" x14ac:dyDescent="0.25">
      <c r="B577" s="82"/>
      <c r="R577"/>
      <c r="S577"/>
      <c r="T577"/>
      <c r="U577" s="84"/>
      <c r="W577" s="84"/>
      <c r="X577" s="84"/>
      <c r="Z577"/>
      <c r="AB577" s="84"/>
      <c r="AD577" s="83"/>
      <c r="AE577" s="83"/>
      <c r="AF577" s="83"/>
    </row>
    <row r="578" spans="2:32" x14ac:dyDescent="0.25">
      <c r="B578" s="82"/>
      <c r="R578"/>
      <c r="S578"/>
      <c r="T578"/>
      <c r="U578" s="84"/>
      <c r="W578" s="84"/>
      <c r="X578" s="84"/>
      <c r="Z578"/>
      <c r="AB578" s="84"/>
      <c r="AD578" s="83"/>
      <c r="AE578" s="83"/>
      <c r="AF578" s="83"/>
    </row>
    <row r="579" spans="2:32" x14ac:dyDescent="0.25">
      <c r="B579" s="82"/>
      <c r="R579"/>
      <c r="S579"/>
      <c r="T579"/>
      <c r="U579" s="84"/>
      <c r="W579" s="84"/>
      <c r="X579" s="84"/>
      <c r="Z579"/>
      <c r="AB579" s="84"/>
      <c r="AD579" s="83"/>
      <c r="AE579" s="83"/>
      <c r="AF579" s="83"/>
    </row>
    <row r="580" spans="2:32" x14ac:dyDescent="0.25">
      <c r="B580" s="82"/>
      <c r="R580"/>
      <c r="S580"/>
      <c r="T580"/>
      <c r="U580" s="84"/>
      <c r="W580" s="84"/>
      <c r="X580" s="84"/>
      <c r="Z580"/>
      <c r="AB580" s="84"/>
      <c r="AD580" s="83"/>
      <c r="AE580" s="83"/>
      <c r="AF580" s="83"/>
    </row>
    <row r="581" spans="2:32" x14ac:dyDescent="0.25">
      <c r="B581" s="82"/>
      <c r="R581"/>
      <c r="S581"/>
      <c r="T581"/>
      <c r="U581" s="84"/>
      <c r="W581" s="84"/>
      <c r="X581" s="84"/>
      <c r="Z581"/>
      <c r="AB581" s="84"/>
      <c r="AD581" s="83"/>
      <c r="AE581" s="83"/>
      <c r="AF581" s="83"/>
    </row>
    <row r="582" spans="2:32" x14ac:dyDescent="0.25">
      <c r="B582" s="82"/>
      <c r="R582"/>
      <c r="S582"/>
      <c r="T582"/>
      <c r="U582" s="84"/>
      <c r="W582" s="84"/>
      <c r="X582" s="84"/>
      <c r="Z582"/>
      <c r="AB582" s="84"/>
      <c r="AD582" s="83"/>
      <c r="AE582" s="83"/>
      <c r="AF582" s="83"/>
    </row>
    <row r="583" spans="2:32" x14ac:dyDescent="0.25">
      <c r="B583" s="82"/>
      <c r="R583"/>
      <c r="S583"/>
      <c r="T583"/>
      <c r="U583" s="84"/>
      <c r="W583" s="84"/>
      <c r="X583" s="84"/>
      <c r="Z583"/>
      <c r="AB583" s="84"/>
      <c r="AD583" s="83"/>
      <c r="AE583" s="83"/>
      <c r="AF583" s="83"/>
    </row>
    <row r="584" spans="2:32" x14ac:dyDescent="0.25">
      <c r="B584" s="82"/>
      <c r="R584"/>
      <c r="S584"/>
      <c r="T584"/>
      <c r="U584" s="84"/>
      <c r="W584" s="84"/>
      <c r="X584" s="84"/>
      <c r="Z584"/>
      <c r="AB584" s="84"/>
      <c r="AD584" s="83"/>
      <c r="AE584" s="83"/>
      <c r="AF584" s="83"/>
    </row>
    <row r="585" spans="2:32" x14ac:dyDescent="0.25">
      <c r="B585" s="82"/>
      <c r="R585"/>
      <c r="S585"/>
      <c r="T585"/>
      <c r="U585" s="84"/>
      <c r="W585" s="84"/>
      <c r="X585" s="84"/>
      <c r="Z585"/>
      <c r="AB585" s="84"/>
      <c r="AD585" s="83"/>
      <c r="AE585" s="83"/>
      <c r="AF585" s="83"/>
    </row>
    <row r="586" spans="2:32" x14ac:dyDescent="0.25">
      <c r="B586" s="82"/>
      <c r="R586"/>
      <c r="S586"/>
      <c r="T586"/>
      <c r="U586" s="84"/>
      <c r="W586" s="84"/>
      <c r="X586" s="84"/>
      <c r="Z586"/>
      <c r="AB586" s="84"/>
      <c r="AD586" s="83"/>
      <c r="AE586" s="83"/>
      <c r="AF586" s="83"/>
    </row>
    <row r="587" spans="2:32" x14ac:dyDescent="0.25">
      <c r="B587" s="82"/>
      <c r="R587"/>
      <c r="S587"/>
      <c r="T587"/>
      <c r="U587" s="84"/>
      <c r="W587" s="84"/>
      <c r="X587" s="84"/>
      <c r="Z587"/>
      <c r="AB587" s="84"/>
      <c r="AD587" s="83"/>
      <c r="AE587" s="83"/>
      <c r="AF587" s="83"/>
    </row>
    <row r="588" spans="2:32" x14ac:dyDescent="0.25">
      <c r="B588" s="82"/>
      <c r="R588"/>
      <c r="S588"/>
      <c r="T588"/>
      <c r="U588" s="84"/>
      <c r="W588" s="84"/>
      <c r="X588" s="84"/>
      <c r="Z588"/>
      <c r="AB588" s="84"/>
      <c r="AD588" s="83"/>
      <c r="AE588" s="83"/>
      <c r="AF588" s="83"/>
    </row>
    <row r="589" spans="2:32" x14ac:dyDescent="0.25">
      <c r="B589" s="82"/>
      <c r="R589"/>
      <c r="S589"/>
      <c r="T589"/>
      <c r="U589" s="84"/>
      <c r="W589" s="84"/>
      <c r="X589" s="84"/>
      <c r="Z589"/>
      <c r="AB589" s="84"/>
      <c r="AD589" s="83"/>
      <c r="AE589" s="83"/>
      <c r="AF589" s="83"/>
    </row>
    <row r="590" spans="2:32" x14ac:dyDescent="0.25">
      <c r="B590" s="82"/>
      <c r="R590"/>
      <c r="S590"/>
      <c r="T590"/>
      <c r="U590" s="84"/>
      <c r="W590" s="84"/>
      <c r="X590" s="84"/>
      <c r="Z590"/>
      <c r="AB590" s="84"/>
      <c r="AD590" s="83"/>
      <c r="AE590" s="83"/>
      <c r="AF590" s="83"/>
    </row>
    <row r="591" spans="2:32" x14ac:dyDescent="0.25">
      <c r="B591" s="82"/>
      <c r="R591"/>
      <c r="S591"/>
      <c r="T591"/>
      <c r="U591" s="84"/>
      <c r="W591" s="84"/>
      <c r="X591" s="84"/>
      <c r="Z591"/>
      <c r="AB591" s="84"/>
      <c r="AD591" s="83"/>
      <c r="AE591" s="83"/>
      <c r="AF591" s="83"/>
    </row>
    <row r="592" spans="2:32" x14ac:dyDescent="0.25">
      <c r="B592" s="82"/>
      <c r="R592"/>
      <c r="S592"/>
      <c r="T592"/>
      <c r="U592" s="84"/>
      <c r="W592" s="84"/>
      <c r="X592" s="84"/>
      <c r="Z592"/>
      <c r="AB592" s="84"/>
      <c r="AD592" s="83"/>
      <c r="AE592" s="83"/>
      <c r="AF592" s="83"/>
    </row>
    <row r="593" spans="2:32" x14ac:dyDescent="0.25">
      <c r="B593" s="82"/>
      <c r="R593"/>
      <c r="S593"/>
      <c r="T593"/>
      <c r="U593" s="84"/>
      <c r="W593" s="84"/>
      <c r="X593" s="84"/>
      <c r="Z593"/>
      <c r="AB593" s="84"/>
      <c r="AD593" s="83"/>
      <c r="AE593" s="83"/>
      <c r="AF593" s="83"/>
    </row>
    <row r="594" spans="2:32" x14ac:dyDescent="0.25">
      <c r="B594" s="82"/>
      <c r="R594"/>
      <c r="S594"/>
      <c r="T594"/>
      <c r="U594" s="84"/>
      <c r="W594" s="84"/>
      <c r="X594" s="84"/>
      <c r="Z594"/>
      <c r="AB594" s="84"/>
      <c r="AD594" s="83"/>
      <c r="AE594" s="83"/>
      <c r="AF594" s="83"/>
    </row>
    <row r="595" spans="2:32" x14ac:dyDescent="0.25">
      <c r="B595" s="82"/>
      <c r="R595"/>
      <c r="S595"/>
      <c r="T595"/>
      <c r="U595" s="84"/>
      <c r="W595" s="84"/>
      <c r="X595" s="84"/>
      <c r="Z595"/>
      <c r="AB595" s="84"/>
      <c r="AD595" s="83"/>
      <c r="AE595" s="83"/>
      <c r="AF595" s="83"/>
    </row>
    <row r="596" spans="2:32" x14ac:dyDescent="0.25">
      <c r="B596" s="82"/>
      <c r="R596"/>
      <c r="S596"/>
      <c r="T596"/>
      <c r="U596" s="84"/>
      <c r="W596" s="84"/>
      <c r="X596" s="84"/>
      <c r="Z596"/>
      <c r="AB596" s="84"/>
      <c r="AD596" s="83"/>
      <c r="AE596" s="83"/>
      <c r="AF596" s="83"/>
    </row>
    <row r="597" spans="2:32" x14ac:dyDescent="0.25">
      <c r="B597" s="82"/>
      <c r="R597"/>
      <c r="S597"/>
      <c r="T597"/>
      <c r="U597" s="84"/>
      <c r="W597" s="84"/>
      <c r="X597" s="84"/>
      <c r="Z597"/>
      <c r="AB597" s="84"/>
      <c r="AD597" s="83"/>
      <c r="AE597" s="83"/>
      <c r="AF597" s="83"/>
    </row>
    <row r="598" spans="2:32" x14ac:dyDescent="0.25">
      <c r="B598" s="82"/>
      <c r="R598"/>
      <c r="S598"/>
      <c r="T598"/>
      <c r="U598" s="84"/>
      <c r="W598" s="84"/>
      <c r="X598" s="84"/>
      <c r="Z598"/>
      <c r="AB598" s="84"/>
      <c r="AD598" s="83"/>
      <c r="AE598" s="83"/>
      <c r="AF598" s="83"/>
    </row>
    <row r="599" spans="2:32" x14ac:dyDescent="0.25">
      <c r="B599" s="82"/>
      <c r="R599"/>
      <c r="S599"/>
      <c r="T599"/>
      <c r="U599" s="84"/>
      <c r="W599" s="84"/>
      <c r="X599" s="84"/>
      <c r="Z599"/>
      <c r="AB599" s="84"/>
      <c r="AD599" s="83"/>
      <c r="AE599" s="83"/>
      <c r="AF599" s="83"/>
    </row>
    <row r="600" spans="2:32" x14ac:dyDescent="0.25">
      <c r="B600" s="82"/>
      <c r="R600"/>
      <c r="S600"/>
      <c r="T600"/>
      <c r="U600" s="84"/>
      <c r="W600" s="84"/>
      <c r="X600" s="84"/>
      <c r="Z600"/>
      <c r="AB600" s="84"/>
      <c r="AD600" s="83"/>
      <c r="AE600" s="83"/>
      <c r="AF600" s="83"/>
    </row>
    <row r="601" spans="2:32" x14ac:dyDescent="0.25">
      <c r="B601" s="82"/>
      <c r="R601"/>
      <c r="S601"/>
      <c r="T601"/>
      <c r="U601" s="84"/>
      <c r="W601" s="84"/>
      <c r="X601" s="84"/>
      <c r="Z601"/>
      <c r="AB601" s="84"/>
      <c r="AD601" s="83"/>
      <c r="AE601" s="83"/>
      <c r="AF601" s="83"/>
    </row>
    <row r="602" spans="2:32" x14ac:dyDescent="0.25">
      <c r="B602" s="82"/>
      <c r="R602"/>
      <c r="S602"/>
      <c r="T602"/>
      <c r="U602" s="84"/>
      <c r="W602" s="84"/>
      <c r="X602" s="84"/>
      <c r="Z602"/>
      <c r="AB602" s="84"/>
      <c r="AD602" s="83"/>
      <c r="AE602" s="83"/>
      <c r="AF602" s="83"/>
    </row>
    <row r="603" spans="2:32" x14ac:dyDescent="0.25">
      <c r="B603" s="82"/>
      <c r="R603"/>
      <c r="S603"/>
      <c r="T603"/>
      <c r="U603" s="84"/>
      <c r="W603" s="84"/>
      <c r="X603" s="84"/>
      <c r="Z603"/>
      <c r="AB603" s="84"/>
      <c r="AD603" s="83"/>
      <c r="AE603" s="83"/>
      <c r="AF603" s="83"/>
    </row>
    <row r="604" spans="2:32" x14ac:dyDescent="0.25">
      <c r="B604" s="82"/>
      <c r="R604"/>
      <c r="S604"/>
      <c r="T604"/>
      <c r="U604" s="84"/>
      <c r="W604" s="84"/>
      <c r="X604" s="84"/>
      <c r="Z604"/>
      <c r="AB604" s="84"/>
      <c r="AD604" s="83"/>
      <c r="AE604" s="83"/>
      <c r="AF604" s="83"/>
    </row>
    <row r="605" spans="2:32" x14ac:dyDescent="0.25">
      <c r="B605" s="82"/>
      <c r="R605"/>
      <c r="S605"/>
      <c r="T605"/>
      <c r="U605" s="84"/>
      <c r="W605" s="84"/>
      <c r="X605" s="84"/>
      <c r="Z605"/>
      <c r="AB605" s="84"/>
      <c r="AD605" s="83"/>
      <c r="AE605" s="83"/>
      <c r="AF605" s="83"/>
    </row>
    <row r="606" spans="2:32" x14ac:dyDescent="0.25">
      <c r="B606" s="82"/>
      <c r="R606"/>
      <c r="S606"/>
      <c r="T606"/>
      <c r="U606" s="84"/>
      <c r="W606" s="84"/>
      <c r="X606" s="84"/>
      <c r="Z606"/>
      <c r="AB606" s="84"/>
      <c r="AD606" s="83"/>
      <c r="AE606" s="83"/>
      <c r="AF606" s="83"/>
    </row>
    <row r="607" spans="2:32" x14ac:dyDescent="0.25">
      <c r="B607" s="82"/>
      <c r="R607"/>
      <c r="S607"/>
      <c r="T607"/>
      <c r="U607" s="84"/>
      <c r="W607" s="84"/>
      <c r="X607" s="84"/>
      <c r="Z607"/>
      <c r="AB607" s="84"/>
      <c r="AD607" s="83"/>
      <c r="AE607" s="83"/>
      <c r="AF607" s="83"/>
    </row>
    <row r="608" spans="2:32" x14ac:dyDescent="0.25">
      <c r="B608" s="82"/>
      <c r="R608"/>
      <c r="S608"/>
      <c r="T608"/>
      <c r="U608" s="84"/>
      <c r="W608" s="84"/>
      <c r="X608" s="84"/>
      <c r="Z608"/>
      <c r="AB608" s="84"/>
      <c r="AD608" s="83"/>
      <c r="AE608" s="83"/>
      <c r="AF608" s="83"/>
    </row>
    <row r="609" spans="2:32" x14ac:dyDescent="0.25">
      <c r="B609" s="82"/>
      <c r="R609"/>
      <c r="S609"/>
      <c r="T609"/>
      <c r="U609" s="84"/>
      <c r="W609" s="84"/>
      <c r="X609" s="84"/>
      <c r="Z609"/>
      <c r="AB609" s="84"/>
      <c r="AD609" s="83"/>
      <c r="AE609" s="83"/>
      <c r="AF609" s="83"/>
    </row>
    <row r="610" spans="2:32" x14ac:dyDescent="0.25">
      <c r="B610" s="82"/>
      <c r="R610"/>
      <c r="S610"/>
      <c r="T610"/>
      <c r="U610" s="84"/>
      <c r="W610" s="84"/>
      <c r="X610" s="84"/>
      <c r="Z610"/>
      <c r="AB610" s="84"/>
      <c r="AD610" s="83"/>
      <c r="AE610" s="83"/>
      <c r="AF610" s="83"/>
    </row>
    <row r="611" spans="2:32" x14ac:dyDescent="0.25">
      <c r="B611" s="82"/>
      <c r="R611"/>
      <c r="S611"/>
      <c r="T611"/>
      <c r="U611" s="84"/>
      <c r="W611" s="84"/>
      <c r="X611" s="84"/>
      <c r="Z611"/>
      <c r="AB611" s="84"/>
      <c r="AD611" s="83"/>
      <c r="AE611" s="83"/>
      <c r="AF611" s="83"/>
    </row>
    <row r="612" spans="2:32" x14ac:dyDescent="0.25">
      <c r="B612" s="82"/>
      <c r="R612"/>
      <c r="S612"/>
      <c r="T612"/>
      <c r="U612" s="84"/>
      <c r="W612" s="84"/>
      <c r="X612" s="84"/>
      <c r="Z612"/>
      <c r="AB612" s="84"/>
      <c r="AD612" s="83"/>
      <c r="AE612" s="83"/>
      <c r="AF612" s="83"/>
    </row>
    <row r="613" spans="2:32" x14ac:dyDescent="0.25">
      <c r="B613" s="82"/>
      <c r="R613"/>
      <c r="S613"/>
      <c r="T613"/>
      <c r="U613" s="84"/>
      <c r="W613" s="84"/>
      <c r="X613" s="84"/>
      <c r="Z613"/>
      <c r="AB613" s="84"/>
      <c r="AD613" s="83"/>
      <c r="AE613" s="83"/>
      <c r="AF613" s="83"/>
    </row>
    <row r="614" spans="2:32" x14ac:dyDescent="0.25">
      <c r="B614" s="82"/>
      <c r="R614"/>
      <c r="S614"/>
      <c r="T614"/>
      <c r="U614" s="84"/>
      <c r="W614" s="84"/>
      <c r="X614" s="84"/>
      <c r="Z614"/>
      <c r="AB614" s="84"/>
      <c r="AD614" s="83"/>
      <c r="AE614" s="83"/>
      <c r="AF614" s="83"/>
    </row>
    <row r="615" spans="2:32" x14ac:dyDescent="0.25">
      <c r="B615" s="82"/>
      <c r="R615"/>
      <c r="S615"/>
      <c r="T615"/>
      <c r="U615" s="84"/>
      <c r="W615" s="84"/>
      <c r="X615" s="84"/>
      <c r="Z615"/>
      <c r="AB615" s="84"/>
      <c r="AD615" s="83"/>
      <c r="AE615" s="83"/>
      <c r="AF615" s="83"/>
    </row>
    <row r="616" spans="2:32" x14ac:dyDescent="0.25">
      <c r="B616" s="82"/>
      <c r="R616"/>
      <c r="S616"/>
      <c r="T616"/>
      <c r="U616" s="84"/>
      <c r="W616" s="84"/>
      <c r="X616" s="84"/>
      <c r="Z616"/>
      <c r="AB616" s="84"/>
      <c r="AD616" s="83"/>
      <c r="AE616" s="83"/>
      <c r="AF616" s="83"/>
    </row>
    <row r="617" spans="2:32" x14ac:dyDescent="0.25">
      <c r="B617" s="82"/>
      <c r="R617"/>
      <c r="S617"/>
      <c r="T617"/>
      <c r="U617" s="84"/>
      <c r="W617" s="84"/>
      <c r="X617" s="84"/>
      <c r="Z617"/>
      <c r="AB617" s="84"/>
      <c r="AD617" s="83"/>
      <c r="AE617" s="83"/>
      <c r="AF617" s="83"/>
    </row>
    <row r="618" spans="2:32" x14ac:dyDescent="0.25">
      <c r="B618" s="82"/>
      <c r="R618"/>
      <c r="S618"/>
      <c r="T618"/>
      <c r="U618" s="84"/>
      <c r="W618" s="84"/>
      <c r="X618" s="84"/>
      <c r="Z618"/>
      <c r="AB618" s="84"/>
      <c r="AD618" s="83"/>
      <c r="AE618" s="83"/>
      <c r="AF618" s="83"/>
    </row>
    <row r="619" spans="2:32" x14ac:dyDescent="0.25">
      <c r="B619" s="82"/>
      <c r="R619"/>
      <c r="S619"/>
      <c r="T619"/>
      <c r="U619" s="84"/>
      <c r="W619" s="84"/>
      <c r="X619" s="84"/>
      <c r="Z619"/>
      <c r="AB619" s="84"/>
      <c r="AD619" s="83"/>
      <c r="AE619" s="83"/>
      <c r="AF619" s="83"/>
    </row>
    <row r="620" spans="2:32" x14ac:dyDescent="0.25">
      <c r="B620" s="82"/>
      <c r="R620"/>
      <c r="S620"/>
      <c r="T620"/>
      <c r="U620" s="84"/>
      <c r="W620" s="84"/>
      <c r="X620" s="84"/>
      <c r="Z620"/>
      <c r="AB620" s="84"/>
      <c r="AD620" s="83"/>
      <c r="AE620" s="83"/>
      <c r="AF620" s="83"/>
    </row>
    <row r="621" spans="2:32" x14ac:dyDescent="0.25">
      <c r="B621" s="82"/>
      <c r="R621"/>
      <c r="S621"/>
      <c r="T621"/>
      <c r="U621" s="84"/>
      <c r="W621" s="84"/>
      <c r="X621" s="84"/>
      <c r="Z621"/>
      <c r="AB621" s="84"/>
      <c r="AD621" s="83"/>
      <c r="AE621" s="83"/>
      <c r="AF621" s="83"/>
    </row>
    <row r="622" spans="2:32" x14ac:dyDescent="0.25">
      <c r="B622" s="82"/>
      <c r="R622"/>
      <c r="S622"/>
      <c r="T622"/>
      <c r="U622" s="84"/>
      <c r="W622" s="84"/>
      <c r="X622" s="84"/>
      <c r="Z622"/>
      <c r="AB622" s="84"/>
      <c r="AD622" s="83"/>
      <c r="AE622" s="83"/>
      <c r="AF622" s="83"/>
    </row>
    <row r="623" spans="2:32" x14ac:dyDescent="0.25">
      <c r="B623" s="82"/>
      <c r="R623"/>
      <c r="S623"/>
      <c r="T623"/>
      <c r="U623" s="84"/>
      <c r="W623" s="84"/>
      <c r="X623" s="84"/>
      <c r="Z623"/>
      <c r="AB623" s="84"/>
      <c r="AD623" s="83"/>
      <c r="AE623" s="83"/>
      <c r="AF623" s="83"/>
    </row>
    <row r="624" spans="2:32" x14ac:dyDescent="0.25">
      <c r="B624" s="82"/>
      <c r="R624"/>
      <c r="S624"/>
      <c r="T624"/>
      <c r="U624" s="84"/>
      <c r="W624" s="84"/>
      <c r="X624" s="84"/>
      <c r="Z624"/>
      <c r="AB624" s="84"/>
      <c r="AD624" s="83"/>
      <c r="AE624" s="83"/>
      <c r="AF624" s="83"/>
    </row>
    <row r="625" spans="2:32" x14ac:dyDescent="0.25">
      <c r="B625" s="82"/>
      <c r="R625"/>
      <c r="S625"/>
      <c r="T625"/>
      <c r="U625" s="84"/>
      <c r="W625" s="84"/>
      <c r="X625" s="84"/>
      <c r="Z625"/>
      <c r="AB625" s="84"/>
      <c r="AD625" s="83"/>
      <c r="AE625" s="83"/>
      <c r="AF625" s="83"/>
    </row>
    <row r="626" spans="2:32" x14ac:dyDescent="0.25">
      <c r="B626" s="82"/>
      <c r="R626"/>
      <c r="S626"/>
      <c r="T626"/>
      <c r="U626" s="84"/>
      <c r="W626" s="84"/>
      <c r="X626" s="84"/>
      <c r="Z626"/>
      <c r="AB626" s="84"/>
      <c r="AD626" s="83"/>
      <c r="AE626" s="83"/>
      <c r="AF626" s="83"/>
    </row>
    <row r="627" spans="2:32" x14ac:dyDescent="0.25">
      <c r="B627" s="82"/>
      <c r="R627"/>
      <c r="S627"/>
      <c r="T627"/>
      <c r="U627" s="84"/>
      <c r="W627" s="84"/>
      <c r="X627" s="84"/>
      <c r="Z627"/>
      <c r="AB627" s="84"/>
      <c r="AD627" s="83"/>
      <c r="AE627" s="83"/>
      <c r="AF627" s="83"/>
    </row>
    <row r="628" spans="2:32" x14ac:dyDescent="0.25">
      <c r="B628" s="82"/>
      <c r="R628"/>
      <c r="S628"/>
      <c r="T628"/>
      <c r="U628" s="84"/>
      <c r="W628" s="84"/>
      <c r="X628" s="84"/>
      <c r="Z628"/>
      <c r="AB628" s="84"/>
      <c r="AD628" s="83"/>
      <c r="AE628" s="83"/>
      <c r="AF628" s="83"/>
    </row>
    <row r="629" spans="2:32" x14ac:dyDescent="0.25">
      <c r="B629" s="82"/>
      <c r="R629"/>
      <c r="S629"/>
      <c r="T629"/>
      <c r="U629" s="84"/>
      <c r="W629" s="84"/>
      <c r="X629" s="84"/>
      <c r="Z629"/>
      <c r="AB629" s="84"/>
      <c r="AD629" s="83"/>
      <c r="AE629" s="83"/>
      <c r="AF629" s="83"/>
    </row>
    <row r="630" spans="2:32" x14ac:dyDescent="0.25">
      <c r="B630" s="82"/>
      <c r="R630"/>
      <c r="S630"/>
      <c r="T630"/>
      <c r="U630" s="84"/>
      <c r="W630" s="84"/>
      <c r="X630" s="84"/>
      <c r="Z630"/>
      <c r="AB630" s="84"/>
      <c r="AD630" s="83"/>
      <c r="AE630" s="83"/>
      <c r="AF630" s="83"/>
    </row>
    <row r="631" spans="2:32" x14ac:dyDescent="0.25">
      <c r="B631" s="82"/>
      <c r="R631"/>
      <c r="S631"/>
      <c r="T631"/>
      <c r="U631" s="84"/>
      <c r="W631" s="84"/>
      <c r="X631" s="84"/>
      <c r="Z631"/>
      <c r="AB631" s="84"/>
      <c r="AD631" s="83"/>
      <c r="AE631" s="83"/>
      <c r="AF631" s="83"/>
    </row>
    <row r="632" spans="2:32" x14ac:dyDescent="0.25">
      <c r="B632" s="82"/>
      <c r="R632"/>
      <c r="S632"/>
      <c r="T632"/>
      <c r="U632" s="84"/>
      <c r="W632" s="84"/>
      <c r="X632" s="84"/>
      <c r="Z632"/>
      <c r="AB632" s="84"/>
      <c r="AD632" s="83"/>
      <c r="AE632" s="83"/>
      <c r="AF632" s="83"/>
    </row>
    <row r="633" spans="2:32" x14ac:dyDescent="0.25">
      <c r="B633" s="82"/>
      <c r="R633"/>
      <c r="S633"/>
      <c r="T633"/>
      <c r="U633" s="84"/>
      <c r="W633" s="84"/>
      <c r="X633" s="84"/>
      <c r="Z633"/>
      <c r="AB633" s="84"/>
      <c r="AD633" s="83"/>
      <c r="AE633" s="83"/>
      <c r="AF633" s="83"/>
    </row>
    <row r="634" spans="2:32" x14ac:dyDescent="0.25">
      <c r="B634" s="82"/>
      <c r="R634"/>
      <c r="S634"/>
      <c r="T634"/>
      <c r="U634" s="84"/>
      <c r="W634" s="84"/>
      <c r="X634" s="84"/>
      <c r="Z634"/>
      <c r="AB634" s="84"/>
      <c r="AD634" s="83"/>
      <c r="AE634" s="83"/>
      <c r="AF634" s="83"/>
    </row>
    <row r="635" spans="2:32" x14ac:dyDescent="0.25">
      <c r="B635" s="82"/>
      <c r="R635"/>
      <c r="S635"/>
      <c r="T635"/>
      <c r="U635" s="84"/>
      <c r="W635" s="84"/>
      <c r="X635" s="84"/>
      <c r="Z635"/>
      <c r="AB635" s="84"/>
      <c r="AD635" s="83"/>
      <c r="AE635" s="83"/>
      <c r="AF635" s="83"/>
    </row>
    <row r="636" spans="2:32" x14ac:dyDescent="0.25">
      <c r="B636" s="82"/>
      <c r="R636"/>
      <c r="S636"/>
      <c r="T636"/>
      <c r="U636" s="84"/>
      <c r="W636" s="84"/>
      <c r="X636" s="84"/>
      <c r="Z636"/>
      <c r="AB636" s="84"/>
      <c r="AD636" s="83"/>
      <c r="AE636" s="83"/>
      <c r="AF636" s="83"/>
    </row>
    <row r="637" spans="2:32" x14ac:dyDescent="0.25">
      <c r="B637" s="82"/>
      <c r="R637"/>
      <c r="S637"/>
      <c r="T637"/>
      <c r="U637" s="84"/>
      <c r="W637" s="84"/>
      <c r="X637" s="84"/>
      <c r="Z637"/>
      <c r="AB637" s="84"/>
      <c r="AD637" s="83"/>
      <c r="AE637" s="83"/>
      <c r="AF637" s="83"/>
    </row>
    <row r="638" spans="2:32" x14ac:dyDescent="0.25">
      <c r="B638" s="82"/>
      <c r="R638"/>
      <c r="S638"/>
      <c r="T638"/>
      <c r="U638" s="84"/>
      <c r="W638" s="84"/>
      <c r="X638" s="84"/>
      <c r="Z638"/>
      <c r="AB638" s="84"/>
      <c r="AD638" s="83"/>
      <c r="AE638" s="83"/>
      <c r="AF638" s="83"/>
    </row>
    <row r="639" spans="2:32" x14ac:dyDescent="0.25">
      <c r="B639" s="82"/>
      <c r="R639"/>
      <c r="S639"/>
      <c r="T639"/>
      <c r="U639" s="84"/>
      <c r="W639" s="84"/>
      <c r="X639" s="84"/>
      <c r="Z639"/>
      <c r="AB639" s="84"/>
      <c r="AD639" s="83"/>
      <c r="AE639" s="83"/>
      <c r="AF639" s="83"/>
    </row>
    <row r="640" spans="2:32" x14ac:dyDescent="0.25">
      <c r="B640" s="82"/>
      <c r="R640"/>
      <c r="S640"/>
      <c r="T640"/>
      <c r="U640" s="84"/>
      <c r="W640" s="84"/>
      <c r="X640" s="84"/>
      <c r="Z640"/>
      <c r="AB640" s="84"/>
      <c r="AD640" s="83"/>
      <c r="AE640" s="83"/>
      <c r="AF640" s="83"/>
    </row>
    <row r="641" spans="2:32" x14ac:dyDescent="0.25">
      <c r="B641" s="82"/>
      <c r="R641"/>
      <c r="S641"/>
      <c r="T641"/>
      <c r="U641" s="84"/>
      <c r="W641" s="84"/>
      <c r="X641" s="84"/>
      <c r="Z641"/>
      <c r="AB641" s="84"/>
      <c r="AD641" s="83"/>
      <c r="AE641" s="83"/>
      <c r="AF641" s="83"/>
    </row>
    <row r="642" spans="2:32" x14ac:dyDescent="0.25">
      <c r="B642" s="82"/>
      <c r="R642"/>
      <c r="S642"/>
      <c r="T642"/>
      <c r="U642" s="84"/>
      <c r="W642" s="84"/>
      <c r="X642" s="84"/>
      <c r="Z642"/>
      <c r="AB642" s="84"/>
      <c r="AD642" s="83"/>
      <c r="AE642" s="83"/>
      <c r="AF642" s="83"/>
    </row>
    <row r="643" spans="2:32" x14ac:dyDescent="0.25">
      <c r="B643" s="82"/>
      <c r="R643"/>
      <c r="S643"/>
      <c r="T643"/>
      <c r="U643" s="84"/>
      <c r="W643" s="84"/>
      <c r="X643" s="84"/>
      <c r="Z643"/>
      <c r="AB643" s="84"/>
      <c r="AD643" s="83"/>
      <c r="AE643" s="83"/>
      <c r="AF643" s="83"/>
    </row>
    <row r="644" spans="2:32" x14ac:dyDescent="0.25">
      <c r="B644" s="82"/>
      <c r="R644"/>
      <c r="S644"/>
      <c r="T644"/>
      <c r="U644" s="84"/>
      <c r="W644" s="84"/>
      <c r="X644" s="84"/>
      <c r="Z644"/>
      <c r="AB644" s="84"/>
      <c r="AD644" s="83"/>
      <c r="AE644" s="83"/>
      <c r="AF644" s="83"/>
    </row>
    <row r="645" spans="2:32" x14ac:dyDescent="0.25">
      <c r="B645" s="82"/>
      <c r="R645"/>
      <c r="S645"/>
      <c r="T645"/>
      <c r="U645" s="84"/>
      <c r="W645" s="84"/>
      <c r="X645" s="84"/>
      <c r="Z645"/>
      <c r="AB645" s="84"/>
      <c r="AD645" s="83"/>
      <c r="AE645" s="83"/>
      <c r="AF645" s="83"/>
    </row>
    <row r="646" spans="2:32" x14ac:dyDescent="0.25">
      <c r="B646" s="82"/>
      <c r="R646"/>
      <c r="S646"/>
      <c r="T646"/>
      <c r="U646" s="84"/>
      <c r="W646" s="84"/>
      <c r="X646" s="84"/>
      <c r="Z646"/>
      <c r="AB646" s="84"/>
      <c r="AD646" s="83"/>
      <c r="AE646" s="83"/>
      <c r="AF646" s="83"/>
    </row>
    <row r="647" spans="2:32" x14ac:dyDescent="0.25">
      <c r="B647" s="82"/>
      <c r="R647"/>
      <c r="S647"/>
      <c r="T647"/>
      <c r="U647" s="84"/>
      <c r="W647" s="84"/>
      <c r="X647" s="84"/>
      <c r="Z647"/>
      <c r="AB647" s="84"/>
      <c r="AD647" s="83"/>
      <c r="AE647" s="83"/>
      <c r="AF647" s="83"/>
    </row>
    <row r="648" spans="2:32" x14ac:dyDescent="0.25">
      <c r="B648" s="82"/>
      <c r="R648"/>
      <c r="S648"/>
      <c r="T648"/>
      <c r="U648" s="84"/>
      <c r="W648" s="84"/>
      <c r="X648" s="84"/>
      <c r="Z648"/>
      <c r="AB648" s="84"/>
      <c r="AD648" s="83"/>
      <c r="AE648" s="83"/>
      <c r="AF648" s="83"/>
    </row>
    <row r="649" spans="2:32" x14ac:dyDescent="0.25">
      <c r="B649" s="82"/>
      <c r="R649"/>
      <c r="S649"/>
      <c r="T649"/>
      <c r="U649" s="84"/>
      <c r="W649" s="84"/>
      <c r="X649" s="84"/>
      <c r="Z649"/>
      <c r="AB649" s="84"/>
      <c r="AD649" s="83"/>
      <c r="AE649" s="83"/>
      <c r="AF649" s="83"/>
    </row>
    <row r="650" spans="2:32" x14ac:dyDescent="0.25">
      <c r="B650" s="82"/>
      <c r="R650"/>
      <c r="S650"/>
      <c r="T650"/>
      <c r="U650" s="84"/>
      <c r="W650" s="84"/>
      <c r="X650" s="84"/>
      <c r="Z650"/>
      <c r="AB650" s="84"/>
      <c r="AD650" s="83"/>
      <c r="AE650" s="83"/>
      <c r="AF650" s="83"/>
    </row>
    <row r="651" spans="2:32" x14ac:dyDescent="0.25">
      <c r="B651" s="82"/>
      <c r="R651"/>
      <c r="S651"/>
      <c r="T651"/>
      <c r="U651" s="84"/>
      <c r="W651" s="84"/>
      <c r="X651" s="84"/>
      <c r="Z651"/>
      <c r="AB651" s="84"/>
      <c r="AD651" s="83"/>
      <c r="AE651" s="83"/>
      <c r="AF651" s="83"/>
    </row>
    <row r="652" spans="2:32" x14ac:dyDescent="0.25">
      <c r="B652" s="82"/>
      <c r="R652"/>
      <c r="S652"/>
      <c r="T652"/>
      <c r="U652" s="84"/>
      <c r="W652" s="84"/>
      <c r="X652" s="84"/>
      <c r="Z652"/>
      <c r="AB652" s="84"/>
      <c r="AD652" s="83"/>
      <c r="AE652" s="83"/>
      <c r="AF652" s="83"/>
    </row>
    <row r="653" spans="2:32" x14ac:dyDescent="0.25">
      <c r="B653" s="82"/>
      <c r="R653"/>
      <c r="S653"/>
      <c r="T653"/>
      <c r="U653" s="84"/>
      <c r="W653" s="84"/>
      <c r="X653" s="84"/>
      <c r="Z653"/>
      <c r="AB653" s="84"/>
      <c r="AD653" s="83"/>
      <c r="AE653" s="83"/>
      <c r="AF653" s="83"/>
    </row>
    <row r="654" spans="2:32" x14ac:dyDescent="0.25">
      <c r="B654" s="82"/>
      <c r="R654"/>
      <c r="S654"/>
      <c r="T654"/>
      <c r="U654" s="84"/>
      <c r="W654" s="84"/>
      <c r="X654" s="84"/>
      <c r="Z654"/>
      <c r="AB654" s="84"/>
      <c r="AD654" s="83"/>
      <c r="AE654" s="83"/>
      <c r="AF654" s="83"/>
    </row>
    <row r="655" spans="2:32" x14ac:dyDescent="0.25">
      <c r="B655" s="82"/>
      <c r="R655"/>
      <c r="S655"/>
      <c r="T655"/>
      <c r="U655" s="84"/>
      <c r="W655" s="84"/>
      <c r="X655" s="84"/>
      <c r="Z655"/>
      <c r="AB655" s="84"/>
      <c r="AD655" s="83"/>
      <c r="AE655" s="83"/>
      <c r="AF655" s="83"/>
    </row>
    <row r="656" spans="2:32" x14ac:dyDescent="0.25">
      <c r="B656" s="82"/>
      <c r="R656"/>
      <c r="S656"/>
      <c r="T656"/>
      <c r="U656" s="84"/>
      <c r="W656" s="84"/>
      <c r="X656" s="84"/>
      <c r="Z656"/>
      <c r="AB656" s="84"/>
      <c r="AD656" s="83"/>
      <c r="AE656" s="83"/>
      <c r="AF656" s="83"/>
    </row>
    <row r="657" spans="2:32" x14ac:dyDescent="0.25">
      <c r="B657" s="82"/>
      <c r="R657"/>
      <c r="S657"/>
      <c r="T657"/>
      <c r="U657" s="84"/>
      <c r="W657" s="84"/>
      <c r="X657" s="84"/>
      <c r="Z657"/>
      <c r="AB657" s="84"/>
      <c r="AD657" s="83"/>
      <c r="AE657" s="83"/>
      <c r="AF657" s="83"/>
    </row>
    <row r="658" spans="2:32" x14ac:dyDescent="0.25">
      <c r="B658" s="82"/>
      <c r="R658"/>
      <c r="S658"/>
      <c r="T658"/>
      <c r="U658" s="84"/>
      <c r="W658" s="84"/>
      <c r="X658" s="84"/>
      <c r="Z658"/>
      <c r="AB658" s="84"/>
      <c r="AD658" s="83"/>
      <c r="AE658" s="83"/>
      <c r="AF658" s="83"/>
    </row>
    <row r="659" spans="2:32" x14ac:dyDescent="0.25">
      <c r="B659" s="82"/>
      <c r="R659"/>
      <c r="S659"/>
      <c r="T659"/>
      <c r="U659" s="84"/>
      <c r="W659" s="84"/>
      <c r="X659" s="84"/>
      <c r="Z659"/>
      <c r="AB659" s="84"/>
      <c r="AD659" s="83"/>
      <c r="AE659" s="83"/>
      <c r="AF659" s="83"/>
    </row>
    <row r="660" spans="2:32" x14ac:dyDescent="0.25">
      <c r="B660" s="82"/>
      <c r="R660"/>
      <c r="S660"/>
      <c r="T660"/>
      <c r="U660" s="84"/>
      <c r="W660" s="84"/>
      <c r="X660" s="84"/>
      <c r="Z660"/>
      <c r="AB660" s="84"/>
      <c r="AD660" s="83"/>
      <c r="AE660" s="83"/>
      <c r="AF660" s="83"/>
    </row>
    <row r="661" spans="2:32" x14ac:dyDescent="0.25">
      <c r="B661" s="82"/>
      <c r="R661"/>
      <c r="S661"/>
      <c r="T661"/>
      <c r="U661" s="84"/>
      <c r="W661" s="84"/>
      <c r="X661" s="84"/>
      <c r="Z661"/>
      <c r="AB661" s="84"/>
      <c r="AD661" s="83"/>
      <c r="AE661" s="83"/>
      <c r="AF661" s="83"/>
    </row>
    <row r="662" spans="2:32" x14ac:dyDescent="0.25">
      <c r="B662" s="82"/>
      <c r="R662"/>
      <c r="S662"/>
      <c r="T662"/>
      <c r="U662" s="84"/>
      <c r="W662" s="84"/>
      <c r="X662" s="84"/>
      <c r="Z662"/>
      <c r="AB662" s="84"/>
      <c r="AD662" s="83"/>
      <c r="AE662" s="83"/>
      <c r="AF662" s="83"/>
    </row>
    <row r="663" spans="2:32" x14ac:dyDescent="0.25">
      <c r="B663" s="82"/>
      <c r="R663"/>
      <c r="S663"/>
      <c r="T663"/>
      <c r="U663" s="84"/>
      <c r="W663" s="84"/>
      <c r="X663" s="84"/>
      <c r="Z663"/>
      <c r="AB663" s="84"/>
      <c r="AD663" s="83"/>
      <c r="AE663" s="83"/>
      <c r="AF663" s="83"/>
    </row>
    <row r="664" spans="2:32" x14ac:dyDescent="0.25">
      <c r="B664" s="82"/>
      <c r="R664"/>
      <c r="S664"/>
      <c r="T664"/>
      <c r="U664" s="84"/>
      <c r="W664" s="84"/>
      <c r="X664" s="84"/>
      <c r="Z664"/>
      <c r="AB664" s="84"/>
      <c r="AD664" s="83"/>
      <c r="AE664" s="83"/>
      <c r="AF664" s="83"/>
    </row>
    <row r="665" spans="2:32" x14ac:dyDescent="0.25">
      <c r="B665" s="82"/>
      <c r="R665"/>
      <c r="S665"/>
      <c r="T665"/>
      <c r="U665" s="84"/>
      <c r="W665" s="84"/>
      <c r="X665" s="84"/>
      <c r="Z665"/>
      <c r="AB665" s="84"/>
      <c r="AD665" s="83"/>
      <c r="AE665" s="83"/>
      <c r="AF665" s="83"/>
    </row>
    <row r="666" spans="2:32" x14ac:dyDescent="0.25">
      <c r="B666" s="82"/>
      <c r="R666"/>
      <c r="S666"/>
      <c r="T666"/>
      <c r="U666" s="84"/>
      <c r="W666" s="84"/>
      <c r="X666" s="84"/>
      <c r="Z666"/>
      <c r="AB666" s="84"/>
      <c r="AD666" s="83"/>
      <c r="AE666" s="83"/>
      <c r="AF666" s="83"/>
    </row>
    <row r="667" spans="2:32" x14ac:dyDescent="0.25">
      <c r="B667" s="82"/>
      <c r="R667"/>
      <c r="S667"/>
      <c r="T667"/>
      <c r="U667" s="84"/>
      <c r="W667" s="84"/>
      <c r="X667" s="84"/>
      <c r="Z667"/>
      <c r="AB667" s="84"/>
      <c r="AD667" s="83"/>
      <c r="AE667" s="83"/>
      <c r="AF667" s="83"/>
    </row>
    <row r="668" spans="2:32" x14ac:dyDescent="0.25">
      <c r="B668" s="82"/>
      <c r="R668"/>
      <c r="S668"/>
      <c r="T668"/>
      <c r="U668" s="84"/>
      <c r="W668" s="84"/>
      <c r="X668" s="84"/>
      <c r="Z668"/>
      <c r="AB668" s="84"/>
      <c r="AD668" s="83"/>
      <c r="AE668" s="83"/>
      <c r="AF668" s="83"/>
    </row>
    <row r="669" spans="2:32" x14ac:dyDescent="0.25">
      <c r="B669" s="82"/>
      <c r="R669"/>
      <c r="S669"/>
      <c r="T669"/>
      <c r="U669" s="84"/>
      <c r="W669" s="84"/>
      <c r="X669" s="84"/>
      <c r="Z669"/>
      <c r="AB669" s="84"/>
      <c r="AD669" s="83"/>
      <c r="AE669" s="83"/>
      <c r="AF669" s="83"/>
    </row>
    <row r="670" spans="2:32" x14ac:dyDescent="0.25">
      <c r="B670" s="82"/>
      <c r="R670"/>
      <c r="S670"/>
      <c r="T670"/>
      <c r="U670" s="84"/>
      <c r="W670" s="84"/>
      <c r="X670" s="84"/>
      <c r="Z670"/>
      <c r="AB670" s="84"/>
      <c r="AD670" s="83"/>
      <c r="AE670" s="83"/>
      <c r="AF670" s="83"/>
    </row>
    <row r="671" spans="2:32" x14ac:dyDescent="0.25">
      <c r="B671" s="82"/>
      <c r="R671"/>
      <c r="S671"/>
      <c r="T671"/>
      <c r="U671" s="84"/>
      <c r="W671" s="84"/>
      <c r="X671" s="84"/>
      <c r="Z671"/>
      <c r="AB671" s="84"/>
      <c r="AD671" s="83"/>
      <c r="AE671" s="83"/>
      <c r="AF671" s="83"/>
    </row>
    <row r="672" spans="2:32" x14ac:dyDescent="0.25">
      <c r="B672" s="82"/>
      <c r="R672"/>
      <c r="S672"/>
      <c r="T672"/>
      <c r="U672" s="84"/>
      <c r="W672" s="84"/>
      <c r="X672" s="84"/>
      <c r="Z672"/>
      <c r="AB672" s="84"/>
      <c r="AD672" s="83"/>
      <c r="AE672" s="83"/>
      <c r="AF672" s="83"/>
    </row>
    <row r="673" spans="2:32" x14ac:dyDescent="0.25">
      <c r="B673" s="82"/>
      <c r="R673"/>
      <c r="S673"/>
      <c r="T673"/>
      <c r="U673" s="84"/>
      <c r="W673" s="84"/>
      <c r="X673" s="84"/>
      <c r="Z673"/>
      <c r="AB673" s="84"/>
      <c r="AD673" s="83"/>
      <c r="AE673" s="83"/>
      <c r="AF673" s="83"/>
    </row>
    <row r="674" spans="2:32" x14ac:dyDescent="0.25">
      <c r="B674" s="82"/>
      <c r="R674"/>
      <c r="S674"/>
      <c r="T674"/>
      <c r="U674" s="84"/>
      <c r="W674" s="84"/>
      <c r="X674" s="84"/>
      <c r="Z674"/>
      <c r="AB674" s="84"/>
      <c r="AD674" s="83"/>
      <c r="AE674" s="83"/>
      <c r="AF674" s="83"/>
    </row>
    <row r="675" spans="2:32" x14ac:dyDescent="0.25">
      <c r="B675" s="82"/>
      <c r="R675"/>
      <c r="S675"/>
      <c r="T675"/>
      <c r="U675" s="84"/>
      <c r="W675" s="84"/>
      <c r="X675" s="84"/>
      <c r="Z675"/>
      <c r="AB675" s="84"/>
      <c r="AD675" s="83"/>
      <c r="AE675" s="83"/>
      <c r="AF675" s="83"/>
    </row>
    <row r="676" spans="2:32" x14ac:dyDescent="0.25">
      <c r="B676" s="82"/>
      <c r="R676"/>
      <c r="S676"/>
      <c r="T676"/>
      <c r="U676" s="84"/>
      <c r="W676" s="84"/>
      <c r="X676" s="84"/>
      <c r="Z676"/>
      <c r="AB676" s="84"/>
      <c r="AD676" s="83"/>
      <c r="AE676" s="83"/>
      <c r="AF676" s="83"/>
    </row>
    <row r="677" spans="2:32" x14ac:dyDescent="0.25">
      <c r="B677" s="82"/>
      <c r="R677"/>
      <c r="S677"/>
      <c r="T677"/>
      <c r="U677" s="84"/>
      <c r="W677" s="84"/>
      <c r="X677" s="84"/>
      <c r="Z677"/>
      <c r="AB677" s="84"/>
      <c r="AD677" s="83"/>
      <c r="AE677" s="83"/>
      <c r="AF677" s="83"/>
    </row>
    <row r="678" spans="2:32" x14ac:dyDescent="0.25">
      <c r="B678" s="82"/>
      <c r="R678"/>
      <c r="S678"/>
      <c r="T678"/>
      <c r="U678" s="84"/>
      <c r="W678" s="84"/>
      <c r="X678" s="84"/>
      <c r="Z678"/>
      <c r="AB678" s="84"/>
      <c r="AD678" s="83"/>
      <c r="AE678" s="83"/>
      <c r="AF678" s="83"/>
    </row>
    <row r="679" spans="2:32" x14ac:dyDescent="0.25">
      <c r="B679" s="82"/>
      <c r="R679"/>
      <c r="S679"/>
      <c r="T679"/>
      <c r="U679" s="84"/>
      <c r="W679" s="84"/>
      <c r="X679" s="84"/>
      <c r="Z679"/>
      <c r="AB679" s="84"/>
      <c r="AD679" s="83"/>
      <c r="AE679" s="83"/>
      <c r="AF679" s="83"/>
    </row>
    <row r="680" spans="2:32" x14ac:dyDescent="0.25">
      <c r="B680" s="82"/>
      <c r="R680"/>
      <c r="S680"/>
      <c r="T680"/>
      <c r="U680" s="84"/>
      <c r="W680" s="84"/>
      <c r="X680" s="84"/>
      <c r="Z680"/>
      <c r="AB680" s="84"/>
      <c r="AD680" s="83"/>
      <c r="AE680" s="83"/>
      <c r="AF680" s="83"/>
    </row>
    <row r="681" spans="2:32" x14ac:dyDescent="0.25">
      <c r="B681" s="82"/>
      <c r="R681"/>
      <c r="S681"/>
      <c r="T681"/>
      <c r="U681" s="84"/>
      <c r="W681" s="84"/>
      <c r="X681" s="84"/>
      <c r="Z681"/>
      <c r="AB681" s="84"/>
      <c r="AD681" s="83"/>
      <c r="AE681" s="83"/>
      <c r="AF681" s="83"/>
    </row>
    <row r="682" spans="2:32" x14ac:dyDescent="0.25">
      <c r="B682" s="82"/>
      <c r="R682"/>
      <c r="S682"/>
      <c r="T682"/>
      <c r="U682" s="84"/>
      <c r="W682" s="84"/>
      <c r="X682" s="84"/>
      <c r="Z682"/>
      <c r="AB682" s="84"/>
      <c r="AD682" s="83"/>
      <c r="AE682" s="83"/>
      <c r="AF682" s="83"/>
    </row>
    <row r="683" spans="2:32" x14ac:dyDescent="0.25">
      <c r="B683" s="82"/>
      <c r="R683"/>
      <c r="S683"/>
      <c r="T683"/>
      <c r="U683" s="84"/>
      <c r="W683" s="84"/>
      <c r="X683" s="84"/>
      <c r="Z683"/>
      <c r="AB683" s="84"/>
      <c r="AD683" s="83"/>
      <c r="AE683" s="83"/>
      <c r="AF683" s="83"/>
    </row>
    <row r="684" spans="2:32" x14ac:dyDescent="0.25">
      <c r="B684" s="82"/>
      <c r="R684"/>
      <c r="S684"/>
      <c r="T684"/>
      <c r="U684" s="84"/>
      <c r="W684" s="84"/>
      <c r="X684" s="84"/>
      <c r="Z684"/>
      <c r="AB684" s="84"/>
      <c r="AD684" s="83"/>
      <c r="AE684" s="83"/>
      <c r="AF684" s="83"/>
    </row>
    <row r="685" spans="2:32" x14ac:dyDescent="0.25">
      <c r="B685" s="82"/>
      <c r="R685"/>
      <c r="S685"/>
      <c r="T685"/>
      <c r="U685" s="84"/>
      <c r="W685" s="84"/>
      <c r="X685" s="84"/>
      <c r="Z685"/>
      <c r="AB685" s="84"/>
      <c r="AD685" s="83"/>
      <c r="AE685" s="83"/>
      <c r="AF685" s="83"/>
    </row>
    <row r="686" spans="2:32" x14ac:dyDescent="0.25">
      <c r="B686" s="82"/>
      <c r="R686"/>
      <c r="S686"/>
      <c r="T686"/>
      <c r="U686" s="84"/>
      <c r="W686" s="84"/>
      <c r="X686" s="84"/>
      <c r="Z686"/>
      <c r="AB686" s="84"/>
      <c r="AD686" s="83"/>
      <c r="AE686" s="83"/>
      <c r="AF686" s="83"/>
    </row>
    <row r="687" spans="2:32" x14ac:dyDescent="0.25">
      <c r="B687" s="82"/>
      <c r="R687"/>
      <c r="S687"/>
      <c r="T687"/>
      <c r="U687" s="84"/>
      <c r="W687" s="84"/>
      <c r="X687" s="84"/>
      <c r="Z687"/>
      <c r="AB687" s="84"/>
      <c r="AD687" s="83"/>
      <c r="AE687" s="83"/>
    </row>
    <row r="688" spans="2:32" x14ac:dyDescent="0.25">
      <c r="B688" s="82"/>
      <c r="R688"/>
      <c r="S688"/>
      <c r="T688"/>
      <c r="U688" s="84"/>
      <c r="W688" s="84"/>
      <c r="X688" s="84"/>
      <c r="Z688"/>
      <c r="AB688" s="84"/>
      <c r="AD688" s="83"/>
      <c r="AE688" s="83"/>
    </row>
    <row r="689" spans="2:31" x14ac:dyDescent="0.25">
      <c r="B689" s="82"/>
      <c r="R689"/>
      <c r="S689"/>
      <c r="T689"/>
      <c r="U689" s="84"/>
      <c r="W689" s="84"/>
      <c r="X689" s="84"/>
      <c r="Z689"/>
      <c r="AB689" s="84"/>
      <c r="AD689" s="83"/>
      <c r="AE689" s="83"/>
    </row>
    <row r="690" spans="2:31" x14ac:dyDescent="0.25">
      <c r="B690" s="82"/>
      <c r="R690"/>
      <c r="S690"/>
      <c r="T690"/>
      <c r="U690" s="84"/>
      <c r="W690" s="84"/>
      <c r="X690" s="84"/>
      <c r="Z690"/>
      <c r="AB690" s="84"/>
      <c r="AD690" s="83"/>
      <c r="AE690" s="83"/>
    </row>
    <row r="691" spans="2:31" x14ac:dyDescent="0.25">
      <c r="B691" s="82"/>
      <c r="R691"/>
      <c r="S691"/>
      <c r="T691"/>
      <c r="U691" s="84"/>
      <c r="W691" s="84"/>
      <c r="X691" s="84"/>
      <c r="Z691"/>
      <c r="AB691" s="84"/>
      <c r="AD691" s="83"/>
      <c r="AE691" s="83"/>
    </row>
    <row r="692" spans="2:31" x14ac:dyDescent="0.25">
      <c r="B692" s="82"/>
      <c r="R692"/>
      <c r="S692"/>
      <c r="T692"/>
      <c r="U692" s="84"/>
      <c r="W692" s="84"/>
      <c r="X692" s="84"/>
      <c r="Z692"/>
      <c r="AB692" s="84"/>
      <c r="AD692" s="83"/>
      <c r="AE692" s="83"/>
    </row>
    <row r="693" spans="2:31" x14ac:dyDescent="0.25">
      <c r="B693" s="82"/>
      <c r="R693"/>
      <c r="S693"/>
      <c r="T693"/>
      <c r="U693" s="84"/>
      <c r="W693" s="84"/>
      <c r="X693" s="84"/>
      <c r="Z693"/>
      <c r="AB693" s="84"/>
      <c r="AD693" s="83"/>
      <c r="AE693" s="83"/>
    </row>
    <row r="694" spans="2:31" x14ac:dyDescent="0.25">
      <c r="B694" s="82"/>
      <c r="R694"/>
      <c r="S694"/>
      <c r="T694"/>
      <c r="U694" s="84"/>
      <c r="W694" s="84"/>
      <c r="X694" s="84"/>
      <c r="Z694"/>
      <c r="AB694" s="84"/>
      <c r="AD694" s="83"/>
      <c r="AE694" s="83"/>
    </row>
    <row r="695" spans="2:31" x14ac:dyDescent="0.25">
      <c r="B695" s="82"/>
      <c r="R695"/>
      <c r="S695"/>
      <c r="T695"/>
      <c r="U695" s="84"/>
      <c r="W695" s="84"/>
      <c r="X695" s="84"/>
      <c r="Z695"/>
      <c r="AB695" s="84"/>
      <c r="AD695" s="83"/>
      <c r="AE695" s="83"/>
    </row>
    <row r="696" spans="2:31" x14ac:dyDescent="0.25">
      <c r="B696" s="82"/>
      <c r="R696"/>
      <c r="S696"/>
      <c r="T696"/>
      <c r="U696" s="84"/>
      <c r="W696" s="84"/>
      <c r="X696" s="84"/>
      <c r="Z696"/>
      <c r="AB696" s="84"/>
      <c r="AD696" s="83"/>
      <c r="AE696" s="83"/>
    </row>
    <row r="697" spans="2:31" x14ac:dyDescent="0.25">
      <c r="B697" s="82"/>
      <c r="R697"/>
      <c r="S697"/>
      <c r="T697"/>
      <c r="U697" s="84"/>
      <c r="W697" s="84"/>
      <c r="X697" s="84"/>
      <c r="Z697"/>
      <c r="AB697" s="84"/>
      <c r="AD697" s="83"/>
      <c r="AE697" s="83"/>
    </row>
    <row r="698" spans="2:31" x14ac:dyDescent="0.25">
      <c r="B698" s="82"/>
      <c r="R698"/>
      <c r="S698"/>
      <c r="T698"/>
      <c r="U698" s="84"/>
      <c r="W698" s="84"/>
      <c r="X698" s="84"/>
      <c r="Z698"/>
      <c r="AB698" s="84"/>
      <c r="AD698" s="83"/>
      <c r="AE698" s="83"/>
    </row>
    <row r="699" spans="2:31" x14ac:dyDescent="0.25">
      <c r="B699" s="82"/>
      <c r="R699"/>
      <c r="S699"/>
      <c r="T699"/>
      <c r="U699" s="84"/>
      <c r="W699" s="84"/>
      <c r="X699" s="84"/>
      <c r="Z699"/>
      <c r="AB699" s="84"/>
      <c r="AD699" s="83"/>
      <c r="AE699" s="83"/>
    </row>
    <row r="700" spans="2:31" x14ac:dyDescent="0.25">
      <c r="B700" s="82"/>
      <c r="R700"/>
      <c r="S700"/>
      <c r="T700"/>
      <c r="U700" s="84"/>
      <c r="W700" s="84"/>
      <c r="X700" s="84"/>
      <c r="Z700"/>
      <c r="AB700" s="84"/>
      <c r="AD700" s="83"/>
      <c r="AE700" s="83"/>
    </row>
    <row r="701" spans="2:31" x14ac:dyDescent="0.25">
      <c r="B701" s="82"/>
      <c r="R701"/>
      <c r="S701"/>
      <c r="T701"/>
      <c r="U701" s="84"/>
      <c r="W701" s="84"/>
      <c r="X701" s="84"/>
      <c r="Z701"/>
      <c r="AB701" s="84"/>
      <c r="AD701" s="83"/>
      <c r="AE701" s="83"/>
    </row>
    <row r="702" spans="2:31" x14ac:dyDescent="0.25">
      <c r="B702" s="82"/>
      <c r="R702"/>
      <c r="S702"/>
      <c r="T702"/>
      <c r="U702" s="84"/>
      <c r="W702" s="84"/>
      <c r="X702" s="84"/>
      <c r="Z702"/>
      <c r="AB702" s="84"/>
      <c r="AD702" s="83"/>
      <c r="AE702" s="83"/>
    </row>
    <row r="703" spans="2:31" x14ac:dyDescent="0.25">
      <c r="B703" s="82"/>
      <c r="R703"/>
      <c r="S703"/>
      <c r="T703"/>
      <c r="U703" s="84"/>
      <c r="W703" s="84"/>
      <c r="X703" s="84"/>
      <c r="Z703"/>
      <c r="AB703" s="84"/>
      <c r="AD703" s="83"/>
      <c r="AE703" s="83"/>
    </row>
    <row r="704" spans="2:31" x14ac:dyDescent="0.25">
      <c r="B704" s="82"/>
      <c r="R704"/>
      <c r="S704"/>
      <c r="T704"/>
      <c r="U704" s="84"/>
      <c r="W704" s="84"/>
      <c r="X704" s="84"/>
      <c r="Z704"/>
      <c r="AB704" s="84"/>
      <c r="AD704" s="83"/>
      <c r="AE704" s="83"/>
    </row>
    <row r="705" spans="2:31" x14ac:dyDescent="0.25">
      <c r="B705" s="82"/>
      <c r="R705"/>
      <c r="S705"/>
      <c r="T705"/>
      <c r="U705" s="84"/>
      <c r="W705" s="84"/>
      <c r="X705" s="84"/>
      <c r="Z705"/>
      <c r="AB705" s="84"/>
      <c r="AD705" s="83"/>
      <c r="AE705" s="83"/>
    </row>
    <row r="706" spans="2:31" x14ac:dyDescent="0.25">
      <c r="B706" s="82"/>
      <c r="R706"/>
      <c r="S706"/>
      <c r="T706"/>
      <c r="U706" s="84"/>
      <c r="W706" s="84"/>
      <c r="X706" s="84"/>
      <c r="Z706"/>
      <c r="AB706" s="84"/>
      <c r="AD706" s="83"/>
      <c r="AE706" s="83"/>
    </row>
    <row r="707" spans="2:31" x14ac:dyDescent="0.25">
      <c r="B707" s="82"/>
      <c r="R707"/>
      <c r="S707"/>
      <c r="T707"/>
      <c r="U707" s="84"/>
      <c r="W707" s="84"/>
      <c r="X707" s="84"/>
      <c r="Z707"/>
      <c r="AB707" s="84"/>
      <c r="AD707" s="83"/>
      <c r="AE707" s="83"/>
    </row>
    <row r="708" spans="2:31" x14ac:dyDescent="0.25">
      <c r="B708" s="82"/>
      <c r="R708"/>
      <c r="S708"/>
      <c r="T708"/>
      <c r="U708" s="84"/>
      <c r="W708" s="84"/>
      <c r="X708" s="84"/>
      <c r="Z708"/>
      <c r="AB708" s="84"/>
      <c r="AD708" s="83"/>
      <c r="AE708" s="83"/>
    </row>
    <row r="709" spans="2:31" x14ac:dyDescent="0.25">
      <c r="B709" s="82"/>
      <c r="R709"/>
      <c r="S709"/>
      <c r="T709"/>
      <c r="U709" s="84"/>
      <c r="W709" s="84"/>
      <c r="X709" s="84"/>
      <c r="Z709"/>
      <c r="AB709" s="84"/>
      <c r="AD709" s="83"/>
      <c r="AE709" s="83"/>
    </row>
    <row r="710" spans="2:31" x14ac:dyDescent="0.25">
      <c r="B710" s="82"/>
      <c r="R710"/>
      <c r="S710"/>
      <c r="T710"/>
      <c r="U710" s="84"/>
      <c r="W710" s="84"/>
      <c r="X710" s="84"/>
      <c r="Z710"/>
      <c r="AB710" s="84"/>
      <c r="AD710" s="83"/>
      <c r="AE710" s="83"/>
    </row>
    <row r="711" spans="2:31" x14ac:dyDescent="0.25">
      <c r="B711" s="82"/>
      <c r="R711"/>
      <c r="S711"/>
      <c r="T711"/>
      <c r="U711" s="84"/>
      <c r="W711" s="84"/>
      <c r="X711" s="84"/>
      <c r="Z711"/>
      <c r="AB711" s="84"/>
      <c r="AD711" s="83"/>
      <c r="AE711" s="83"/>
    </row>
    <row r="712" spans="2:31" x14ac:dyDescent="0.25">
      <c r="B712" s="82"/>
      <c r="R712"/>
      <c r="S712"/>
      <c r="T712"/>
      <c r="U712" s="84"/>
      <c r="W712" s="84"/>
      <c r="X712" s="84"/>
      <c r="Z712"/>
      <c r="AB712" s="84"/>
      <c r="AD712" s="83"/>
      <c r="AE712" s="83"/>
    </row>
    <row r="713" spans="2:31" x14ac:dyDescent="0.25">
      <c r="B713" s="82"/>
      <c r="R713"/>
      <c r="S713"/>
      <c r="T713"/>
      <c r="U713" s="84"/>
      <c r="W713" s="84"/>
      <c r="X713" s="84"/>
      <c r="Z713"/>
      <c r="AB713" s="84"/>
      <c r="AD713" s="83"/>
      <c r="AE713" s="83"/>
    </row>
    <row r="714" spans="2:31" x14ac:dyDescent="0.25">
      <c r="B714" s="82"/>
      <c r="R714"/>
      <c r="S714"/>
      <c r="T714"/>
      <c r="U714" s="84"/>
      <c r="W714" s="84"/>
      <c r="X714" s="84"/>
      <c r="Z714"/>
      <c r="AB714" s="84"/>
      <c r="AD714" s="83"/>
      <c r="AE714" s="83"/>
    </row>
    <row r="715" spans="2:31" x14ac:dyDescent="0.25">
      <c r="B715" s="82"/>
      <c r="R715"/>
      <c r="S715"/>
      <c r="T715"/>
      <c r="U715" s="84"/>
      <c r="W715" s="84"/>
      <c r="X715" s="84"/>
      <c r="Z715"/>
      <c r="AB715" s="84"/>
      <c r="AD715" s="83"/>
      <c r="AE715" s="83"/>
    </row>
    <row r="716" spans="2:31" x14ac:dyDescent="0.25">
      <c r="B716" s="82"/>
      <c r="R716"/>
      <c r="S716"/>
      <c r="T716"/>
      <c r="U716" s="84"/>
      <c r="W716" s="84"/>
      <c r="X716" s="84"/>
      <c r="Z716"/>
      <c r="AB716" s="84"/>
      <c r="AD716" s="83"/>
      <c r="AE716" s="83"/>
    </row>
    <row r="717" spans="2:31" x14ac:dyDescent="0.25">
      <c r="B717" s="82"/>
      <c r="R717"/>
      <c r="S717"/>
      <c r="T717"/>
      <c r="U717" s="84"/>
      <c r="W717" s="84"/>
      <c r="X717" s="84"/>
      <c r="Z717"/>
      <c r="AB717" s="84"/>
      <c r="AD717" s="83"/>
      <c r="AE717" s="83"/>
    </row>
    <row r="718" spans="2:31" x14ac:dyDescent="0.25">
      <c r="B718" s="82"/>
      <c r="R718"/>
      <c r="S718"/>
      <c r="T718"/>
      <c r="U718" s="84"/>
      <c r="W718" s="84"/>
      <c r="X718" s="84"/>
      <c r="Z718"/>
      <c r="AB718" s="84"/>
      <c r="AD718" s="83"/>
      <c r="AE718" s="83"/>
    </row>
    <row r="719" spans="2:31" x14ac:dyDescent="0.25">
      <c r="B719" s="82"/>
      <c r="R719"/>
      <c r="S719"/>
      <c r="T719"/>
      <c r="U719" s="84"/>
      <c r="W719" s="84"/>
      <c r="X719" s="84"/>
      <c r="Z719"/>
      <c r="AB719" s="84"/>
      <c r="AD719" s="83"/>
      <c r="AE719" s="83"/>
    </row>
    <row r="720" spans="2:31" x14ac:dyDescent="0.25">
      <c r="B720" s="82"/>
      <c r="R720"/>
      <c r="S720"/>
      <c r="T720"/>
      <c r="U720" s="84"/>
      <c r="W720" s="84"/>
      <c r="X720" s="84"/>
      <c r="Z720"/>
      <c r="AB720" s="84"/>
      <c r="AD720" s="83"/>
      <c r="AE720" s="83"/>
    </row>
    <row r="721" spans="2:31" x14ac:dyDescent="0.25">
      <c r="B721" s="82"/>
      <c r="R721"/>
      <c r="S721"/>
      <c r="T721"/>
      <c r="U721" s="84"/>
      <c r="W721" s="84"/>
      <c r="X721" s="84"/>
      <c r="Z721"/>
      <c r="AB721" s="84"/>
      <c r="AD721" s="83"/>
      <c r="AE721" s="83"/>
    </row>
    <row r="722" spans="2:31" x14ac:dyDescent="0.25">
      <c r="B722" s="82"/>
      <c r="R722"/>
      <c r="S722"/>
      <c r="T722"/>
      <c r="U722" s="84"/>
      <c r="W722" s="84"/>
      <c r="X722" s="84"/>
      <c r="Z722"/>
      <c r="AB722" s="84"/>
      <c r="AD722" s="83"/>
      <c r="AE722" s="83"/>
    </row>
    <row r="723" spans="2:31" x14ac:dyDescent="0.25">
      <c r="B723" s="82"/>
      <c r="R723"/>
      <c r="S723"/>
      <c r="T723"/>
      <c r="U723" s="84"/>
      <c r="W723" s="84"/>
      <c r="X723" s="84"/>
      <c r="Z723"/>
      <c r="AB723" s="84"/>
      <c r="AD723" s="83"/>
      <c r="AE723" s="83"/>
    </row>
    <row r="724" spans="2:31" x14ac:dyDescent="0.25">
      <c r="B724" s="82"/>
      <c r="R724"/>
      <c r="S724"/>
      <c r="T724"/>
      <c r="U724" s="84"/>
      <c r="W724" s="84"/>
      <c r="X724" s="84"/>
      <c r="Z724"/>
      <c r="AB724" s="84"/>
      <c r="AD724" s="83"/>
      <c r="AE724" s="83"/>
    </row>
    <row r="725" spans="2:31" x14ac:dyDescent="0.25">
      <c r="B725" s="82"/>
      <c r="R725"/>
      <c r="S725"/>
      <c r="T725"/>
      <c r="U725" s="84"/>
      <c r="W725" s="84"/>
      <c r="X725" s="84"/>
      <c r="Z725"/>
      <c r="AB725" s="84"/>
      <c r="AD725" s="83"/>
      <c r="AE725" s="83"/>
    </row>
    <row r="726" spans="2:31" x14ac:dyDescent="0.25">
      <c r="B726" s="82"/>
      <c r="R726"/>
      <c r="S726"/>
      <c r="T726"/>
      <c r="U726" s="84"/>
      <c r="W726" s="84"/>
      <c r="X726" s="84"/>
      <c r="Z726"/>
      <c r="AB726" s="84"/>
      <c r="AD726" s="83"/>
      <c r="AE726" s="83"/>
    </row>
    <row r="727" spans="2:31" x14ac:dyDescent="0.25">
      <c r="B727" s="82"/>
      <c r="R727"/>
      <c r="S727"/>
      <c r="T727"/>
      <c r="U727" s="84"/>
      <c r="W727" s="84"/>
      <c r="X727" s="84"/>
      <c r="Z727"/>
      <c r="AB727" s="84"/>
      <c r="AD727" s="83"/>
      <c r="AE727" s="83"/>
    </row>
    <row r="728" spans="2:31" x14ac:dyDescent="0.25">
      <c r="B728" s="82"/>
      <c r="R728"/>
      <c r="S728"/>
      <c r="T728"/>
      <c r="U728" s="84"/>
      <c r="W728" s="84"/>
      <c r="X728" s="84"/>
      <c r="Z728"/>
      <c r="AB728" s="84"/>
      <c r="AD728" s="83"/>
      <c r="AE728" s="83"/>
    </row>
    <row r="729" spans="2:31" x14ac:dyDescent="0.25">
      <c r="B729" s="82"/>
      <c r="R729"/>
      <c r="S729"/>
      <c r="T729"/>
      <c r="U729" s="84"/>
      <c r="W729" s="84"/>
      <c r="X729" s="84"/>
      <c r="Z729"/>
      <c r="AB729" s="84"/>
      <c r="AD729" s="83"/>
      <c r="AE729" s="83"/>
    </row>
    <row r="730" spans="2:31" x14ac:dyDescent="0.25">
      <c r="B730" s="82"/>
      <c r="R730"/>
      <c r="S730"/>
      <c r="T730"/>
      <c r="U730" s="84"/>
      <c r="W730" s="84"/>
      <c r="X730" s="84"/>
      <c r="Z730"/>
      <c r="AB730" s="84"/>
      <c r="AD730" s="83"/>
      <c r="AE730" s="83"/>
    </row>
    <row r="731" spans="2:31" x14ac:dyDescent="0.25">
      <c r="B731" s="82"/>
      <c r="R731"/>
      <c r="S731"/>
      <c r="T731"/>
      <c r="U731" s="84"/>
      <c r="W731" s="84"/>
      <c r="X731" s="84"/>
      <c r="Z731"/>
      <c r="AB731" s="84"/>
      <c r="AD731" s="83"/>
      <c r="AE731" s="83"/>
    </row>
    <row r="732" spans="2:31" x14ac:dyDescent="0.25">
      <c r="B732" s="82"/>
      <c r="R732"/>
      <c r="S732"/>
      <c r="T732"/>
      <c r="U732" s="84"/>
      <c r="W732" s="84"/>
      <c r="X732" s="84"/>
      <c r="Z732"/>
      <c r="AB732" s="84"/>
      <c r="AD732" s="83"/>
      <c r="AE732" s="83"/>
    </row>
    <row r="733" spans="2:31" x14ac:dyDescent="0.25">
      <c r="B733" s="82"/>
      <c r="R733"/>
      <c r="S733"/>
      <c r="T733"/>
      <c r="U733" s="84"/>
      <c r="W733" s="84"/>
      <c r="X733" s="84"/>
      <c r="Z733"/>
      <c r="AB733" s="84"/>
      <c r="AD733" s="83"/>
      <c r="AE733" s="83"/>
    </row>
    <row r="734" spans="2:31" x14ac:dyDescent="0.25">
      <c r="B734" s="82"/>
      <c r="R734"/>
      <c r="S734"/>
      <c r="T734"/>
      <c r="U734" s="84"/>
      <c r="W734" s="84"/>
      <c r="X734" s="84"/>
      <c r="Z734"/>
      <c r="AB734" s="84"/>
      <c r="AD734" s="83"/>
      <c r="AE734" s="83"/>
    </row>
    <row r="735" spans="2:31" x14ac:dyDescent="0.25">
      <c r="B735" s="82"/>
      <c r="R735"/>
      <c r="S735"/>
      <c r="T735"/>
      <c r="U735" s="84"/>
      <c r="W735" s="84"/>
      <c r="X735" s="84"/>
      <c r="Z735"/>
      <c r="AB735" s="84"/>
      <c r="AD735" s="83"/>
      <c r="AE735" s="83"/>
    </row>
    <row r="736" spans="2:31" x14ac:dyDescent="0.25">
      <c r="B736" s="82"/>
      <c r="R736"/>
      <c r="S736"/>
      <c r="T736"/>
      <c r="U736" s="84"/>
      <c r="W736" s="84"/>
      <c r="X736" s="84"/>
      <c r="Z736"/>
      <c r="AB736" s="84"/>
      <c r="AD736" s="83"/>
      <c r="AE736" s="83"/>
    </row>
    <row r="737" spans="2:31" x14ac:dyDescent="0.25">
      <c r="B737" s="82"/>
      <c r="R737"/>
      <c r="S737"/>
      <c r="T737"/>
      <c r="U737" s="84"/>
      <c r="W737" s="84"/>
      <c r="X737" s="84"/>
      <c r="Z737"/>
      <c r="AB737" s="84"/>
      <c r="AD737" s="83"/>
      <c r="AE737" s="83"/>
    </row>
    <row r="738" spans="2:31" x14ac:dyDescent="0.25">
      <c r="B738" s="82"/>
      <c r="R738"/>
      <c r="S738"/>
      <c r="T738"/>
      <c r="U738" s="84"/>
      <c r="W738" s="84"/>
      <c r="X738" s="84"/>
      <c r="Z738"/>
      <c r="AB738" s="84"/>
      <c r="AD738" s="83"/>
      <c r="AE738" s="83"/>
    </row>
    <row r="739" spans="2:31" x14ac:dyDescent="0.25">
      <c r="B739" s="82"/>
      <c r="R739"/>
      <c r="S739"/>
      <c r="T739"/>
      <c r="U739" s="84"/>
      <c r="W739" s="84"/>
      <c r="X739" s="84"/>
      <c r="Z739"/>
      <c r="AB739" s="84"/>
      <c r="AD739" s="83"/>
      <c r="AE739" s="83"/>
    </row>
    <row r="740" spans="2:31" x14ac:dyDescent="0.25">
      <c r="B740" s="82"/>
      <c r="R740"/>
      <c r="S740"/>
      <c r="T740"/>
      <c r="U740" s="84"/>
      <c r="W740" s="84"/>
      <c r="X740" s="84"/>
      <c r="Z740"/>
      <c r="AB740" s="84"/>
      <c r="AD740" s="83"/>
      <c r="AE740" s="83"/>
    </row>
    <row r="741" spans="2:31" x14ac:dyDescent="0.25">
      <c r="B741" s="82"/>
      <c r="R741"/>
      <c r="S741"/>
      <c r="T741"/>
      <c r="U741" s="84"/>
      <c r="W741" s="84"/>
      <c r="X741" s="84"/>
      <c r="Z741"/>
      <c r="AB741" s="84"/>
      <c r="AD741" s="83"/>
      <c r="AE741" s="83"/>
    </row>
    <row r="742" spans="2:31" x14ac:dyDescent="0.25">
      <c r="B742" s="82"/>
      <c r="R742"/>
      <c r="S742"/>
      <c r="T742"/>
      <c r="U742" s="84"/>
      <c r="W742" s="84"/>
      <c r="X742" s="84"/>
      <c r="Z742"/>
      <c r="AB742" s="84"/>
      <c r="AD742" s="83"/>
      <c r="AE742" s="83"/>
    </row>
    <row r="743" spans="2:31" x14ac:dyDescent="0.25">
      <c r="B743" s="82"/>
      <c r="R743"/>
      <c r="S743"/>
      <c r="T743"/>
      <c r="U743" s="84"/>
      <c r="W743" s="84"/>
      <c r="X743" s="84"/>
      <c r="Z743"/>
      <c r="AB743" s="84"/>
      <c r="AD743" s="83"/>
      <c r="AE743" s="83"/>
    </row>
    <row r="744" spans="2:31" x14ac:dyDescent="0.25">
      <c r="B744" s="82"/>
      <c r="R744"/>
      <c r="S744"/>
      <c r="T744"/>
      <c r="U744" s="84"/>
      <c r="W744" s="84"/>
      <c r="X744" s="84"/>
      <c r="Z744"/>
      <c r="AB744" s="84"/>
      <c r="AD744" s="83"/>
      <c r="AE744" s="83"/>
    </row>
    <row r="745" spans="2:31" x14ac:dyDescent="0.25">
      <c r="B745" s="82"/>
      <c r="R745"/>
      <c r="S745"/>
      <c r="T745"/>
      <c r="U745" s="84"/>
      <c r="W745" s="84"/>
      <c r="X745" s="84"/>
      <c r="Z745"/>
      <c r="AB745" s="84"/>
      <c r="AD745" s="83"/>
      <c r="AE745" s="83"/>
    </row>
    <row r="746" spans="2:31" x14ac:dyDescent="0.25">
      <c r="B746" s="82"/>
      <c r="R746"/>
      <c r="S746"/>
      <c r="T746"/>
      <c r="U746" s="84"/>
      <c r="W746" s="84"/>
      <c r="X746" s="84"/>
      <c r="Z746"/>
      <c r="AB746" s="84"/>
      <c r="AD746" s="83"/>
      <c r="AE746" s="83"/>
    </row>
    <row r="747" spans="2:31" x14ac:dyDescent="0.25">
      <c r="B747" s="82"/>
      <c r="R747"/>
      <c r="S747"/>
      <c r="T747"/>
      <c r="U747" s="84"/>
      <c r="W747" s="84"/>
      <c r="X747" s="84"/>
      <c r="Z747"/>
      <c r="AB747" s="84"/>
      <c r="AD747" s="83"/>
      <c r="AE747" s="83"/>
    </row>
    <row r="748" spans="2:31" x14ac:dyDescent="0.25">
      <c r="B748" s="82"/>
      <c r="R748"/>
      <c r="S748"/>
      <c r="T748"/>
      <c r="U748" s="84"/>
      <c r="W748" s="84"/>
      <c r="X748" s="84"/>
      <c r="Z748"/>
      <c r="AB748" s="84"/>
      <c r="AD748" s="83"/>
      <c r="AE748" s="83"/>
    </row>
    <row r="749" spans="2:31" x14ac:dyDescent="0.25">
      <c r="B749" s="82"/>
      <c r="R749"/>
      <c r="S749"/>
      <c r="T749"/>
      <c r="U749" s="84"/>
      <c r="W749" s="84"/>
      <c r="X749" s="84"/>
      <c r="Z749"/>
      <c r="AB749" s="84"/>
      <c r="AD749" s="83"/>
      <c r="AE749" s="83"/>
    </row>
    <row r="750" spans="2:31" x14ac:dyDescent="0.25">
      <c r="B750" s="82"/>
      <c r="R750"/>
      <c r="S750"/>
      <c r="T750"/>
      <c r="U750" s="84"/>
      <c r="W750" s="84"/>
      <c r="X750" s="84"/>
      <c r="Z750"/>
      <c r="AB750" s="84"/>
      <c r="AD750" s="83"/>
      <c r="AE750" s="83"/>
    </row>
    <row r="751" spans="2:31" x14ac:dyDescent="0.25">
      <c r="B751" s="82"/>
      <c r="R751"/>
      <c r="S751"/>
      <c r="T751"/>
      <c r="U751" s="84"/>
      <c r="W751" s="84"/>
      <c r="X751" s="84"/>
      <c r="Z751"/>
      <c r="AB751" s="84"/>
      <c r="AD751" s="83"/>
      <c r="AE751" s="83"/>
    </row>
    <row r="752" spans="2:31" x14ac:dyDescent="0.25">
      <c r="B752" s="82"/>
      <c r="R752"/>
      <c r="S752"/>
      <c r="T752"/>
      <c r="U752" s="84"/>
      <c r="W752" s="84"/>
      <c r="X752" s="84"/>
      <c r="Z752"/>
      <c r="AB752" s="84"/>
      <c r="AD752" s="83"/>
      <c r="AE752" s="83"/>
    </row>
    <row r="753" spans="2:31" x14ac:dyDescent="0.25">
      <c r="B753" s="82"/>
      <c r="R753"/>
      <c r="S753"/>
      <c r="T753"/>
      <c r="U753" s="84"/>
      <c r="W753" s="84"/>
      <c r="X753" s="84"/>
      <c r="Z753"/>
      <c r="AB753" s="84"/>
      <c r="AD753" s="83"/>
      <c r="AE753" s="83"/>
    </row>
    <row r="754" spans="2:31" x14ac:dyDescent="0.25">
      <c r="B754" s="82"/>
      <c r="R754"/>
      <c r="S754"/>
      <c r="T754"/>
      <c r="U754" s="84"/>
      <c r="W754" s="84"/>
      <c r="X754" s="84"/>
      <c r="Z754"/>
      <c r="AB754" s="84"/>
      <c r="AD754" s="83"/>
      <c r="AE754" s="83"/>
    </row>
    <row r="755" spans="2:31" x14ac:dyDescent="0.25">
      <c r="B755" s="82"/>
      <c r="R755"/>
      <c r="S755"/>
      <c r="T755"/>
      <c r="U755" s="84"/>
      <c r="W755" s="84"/>
      <c r="X755" s="84"/>
      <c r="Z755"/>
      <c r="AB755" s="84"/>
      <c r="AD755" s="83"/>
      <c r="AE755" s="83"/>
    </row>
    <row r="756" spans="2:31" x14ac:dyDescent="0.25">
      <c r="B756" s="82"/>
      <c r="R756"/>
      <c r="S756"/>
      <c r="T756"/>
      <c r="U756" s="84"/>
      <c r="W756" s="84"/>
      <c r="X756" s="84"/>
      <c r="Z756"/>
      <c r="AB756" s="84"/>
      <c r="AD756" s="83"/>
      <c r="AE756" s="83"/>
    </row>
    <row r="757" spans="2:31" x14ac:dyDescent="0.25">
      <c r="B757" s="82"/>
      <c r="R757"/>
      <c r="S757"/>
      <c r="T757"/>
      <c r="U757" s="84"/>
      <c r="W757" s="84"/>
      <c r="X757" s="84"/>
      <c r="Z757"/>
      <c r="AB757" s="84"/>
      <c r="AD757" s="83"/>
      <c r="AE757" s="83"/>
    </row>
    <row r="758" spans="2:31" x14ac:dyDescent="0.25">
      <c r="B758" s="82"/>
      <c r="R758"/>
      <c r="S758"/>
      <c r="T758"/>
      <c r="U758" s="84"/>
      <c r="W758" s="84"/>
      <c r="X758" s="84"/>
      <c r="Z758"/>
      <c r="AB758" s="84"/>
      <c r="AD758" s="83"/>
      <c r="AE758" s="83"/>
    </row>
    <row r="759" spans="2:31" x14ac:dyDescent="0.25">
      <c r="B759" s="82"/>
      <c r="R759"/>
      <c r="S759"/>
      <c r="T759"/>
      <c r="U759" s="84"/>
      <c r="W759" s="84"/>
      <c r="X759" s="84"/>
      <c r="Z759"/>
      <c r="AB759" s="84"/>
      <c r="AD759" s="83"/>
      <c r="AE759" s="83"/>
    </row>
    <row r="760" spans="2:31" x14ac:dyDescent="0.25">
      <c r="B760" s="82"/>
      <c r="R760"/>
      <c r="S760"/>
      <c r="T760"/>
      <c r="U760" s="84"/>
      <c r="W760" s="84"/>
      <c r="X760" s="84"/>
      <c r="Z760"/>
      <c r="AB760" s="84"/>
      <c r="AD760" s="83"/>
      <c r="AE760" s="83"/>
    </row>
    <row r="761" spans="2:31" x14ac:dyDescent="0.25">
      <c r="B761" s="82"/>
      <c r="R761"/>
      <c r="S761"/>
      <c r="T761"/>
      <c r="U761" s="84"/>
      <c r="W761" s="84"/>
      <c r="X761" s="84"/>
      <c r="Z761"/>
      <c r="AB761" s="84"/>
      <c r="AD761" s="83"/>
      <c r="AE761" s="83"/>
    </row>
    <row r="762" spans="2:31" x14ac:dyDescent="0.25">
      <c r="B762" s="82"/>
      <c r="R762"/>
      <c r="S762"/>
      <c r="T762"/>
      <c r="U762" s="84"/>
      <c r="W762" s="84"/>
      <c r="X762" s="84"/>
      <c r="Z762"/>
      <c r="AB762" s="84"/>
      <c r="AD762" s="83"/>
      <c r="AE762" s="83"/>
    </row>
    <row r="763" spans="2:31" x14ac:dyDescent="0.25">
      <c r="B763" s="82"/>
      <c r="R763"/>
      <c r="S763"/>
      <c r="T763"/>
      <c r="U763" s="84"/>
      <c r="W763" s="84"/>
      <c r="X763" s="84"/>
      <c r="Z763"/>
      <c r="AB763" s="84"/>
      <c r="AD763" s="83"/>
      <c r="AE763" s="83"/>
    </row>
    <row r="764" spans="2:31" x14ac:dyDescent="0.25">
      <c r="B764" s="82"/>
      <c r="R764"/>
      <c r="S764"/>
      <c r="T764"/>
      <c r="U764" s="84"/>
      <c r="W764" s="84"/>
      <c r="X764" s="84"/>
      <c r="Z764"/>
      <c r="AB764" s="84"/>
      <c r="AD764" s="83"/>
      <c r="AE764" s="83"/>
    </row>
    <row r="765" spans="2:31" x14ac:dyDescent="0.25">
      <c r="B765" s="82"/>
      <c r="R765"/>
      <c r="S765"/>
      <c r="T765"/>
      <c r="U765" s="84"/>
      <c r="W765" s="84"/>
      <c r="X765" s="84"/>
      <c r="Z765"/>
      <c r="AB765" s="84"/>
      <c r="AD765" s="83"/>
      <c r="AE765" s="83"/>
    </row>
    <row r="766" spans="2:31" x14ac:dyDescent="0.25">
      <c r="B766" s="82"/>
      <c r="R766"/>
      <c r="S766"/>
      <c r="T766"/>
      <c r="U766" s="84"/>
      <c r="W766" s="84"/>
      <c r="X766" s="84"/>
      <c r="Z766"/>
      <c r="AB766" s="84"/>
      <c r="AD766" s="83"/>
      <c r="AE766" s="83"/>
    </row>
    <row r="767" spans="2:31" x14ac:dyDescent="0.25">
      <c r="B767" s="82"/>
      <c r="R767"/>
      <c r="S767"/>
      <c r="T767"/>
      <c r="U767" s="84"/>
      <c r="W767" s="84"/>
      <c r="X767" s="84"/>
      <c r="Z767"/>
      <c r="AB767" s="84"/>
      <c r="AD767" s="83"/>
      <c r="AE767" s="83"/>
    </row>
    <row r="768" spans="2:31" x14ac:dyDescent="0.25">
      <c r="B768" s="82"/>
      <c r="R768"/>
      <c r="S768"/>
      <c r="T768"/>
      <c r="U768" s="84"/>
      <c r="W768" s="84"/>
      <c r="X768" s="84"/>
      <c r="Z768"/>
      <c r="AB768" s="84"/>
      <c r="AD768" s="83"/>
      <c r="AE768" s="83"/>
    </row>
    <row r="769" spans="2:31" x14ac:dyDescent="0.25">
      <c r="B769" s="82"/>
      <c r="R769"/>
      <c r="S769"/>
      <c r="T769"/>
      <c r="U769" s="84"/>
      <c r="W769" s="84"/>
      <c r="X769" s="84"/>
      <c r="Z769"/>
      <c r="AB769" s="84"/>
      <c r="AD769" s="83"/>
      <c r="AE769" s="83"/>
    </row>
    <row r="770" spans="2:31" x14ac:dyDescent="0.25">
      <c r="B770" s="82"/>
      <c r="R770"/>
      <c r="S770"/>
      <c r="T770"/>
      <c r="U770" s="84"/>
      <c r="W770" s="84"/>
      <c r="X770" s="84"/>
      <c r="Z770"/>
      <c r="AB770" s="84"/>
      <c r="AD770" s="83"/>
      <c r="AE770" s="83"/>
    </row>
    <row r="771" spans="2:31" x14ac:dyDescent="0.25">
      <c r="B771" s="82"/>
      <c r="R771"/>
      <c r="S771"/>
      <c r="T771"/>
      <c r="U771" s="84"/>
      <c r="W771" s="84"/>
      <c r="X771" s="84"/>
      <c r="Z771"/>
      <c r="AB771" s="84"/>
      <c r="AD771" s="83"/>
      <c r="AE771" s="83"/>
    </row>
    <row r="772" spans="2:31" x14ac:dyDescent="0.25">
      <c r="B772" s="82"/>
      <c r="R772"/>
      <c r="S772"/>
      <c r="T772"/>
      <c r="U772" s="84"/>
      <c r="W772" s="84"/>
      <c r="X772" s="84"/>
      <c r="Z772"/>
      <c r="AB772" s="84"/>
      <c r="AD772" s="83"/>
      <c r="AE772" s="83"/>
    </row>
    <row r="773" spans="2:31" x14ac:dyDescent="0.25">
      <c r="B773" s="82"/>
      <c r="R773"/>
      <c r="S773"/>
      <c r="T773"/>
      <c r="U773" s="84"/>
      <c r="W773" s="84"/>
      <c r="X773" s="84"/>
      <c r="Z773"/>
      <c r="AB773" s="84"/>
      <c r="AD773" s="83"/>
      <c r="AE773" s="83"/>
    </row>
    <row r="774" spans="2:31" x14ac:dyDescent="0.25">
      <c r="B774" s="82"/>
      <c r="R774"/>
      <c r="S774"/>
      <c r="T774"/>
      <c r="U774" s="84"/>
      <c r="W774" s="84"/>
      <c r="X774" s="84"/>
      <c r="Z774"/>
      <c r="AB774" s="84"/>
      <c r="AD774" s="83"/>
      <c r="AE774" s="83"/>
    </row>
    <row r="775" spans="2:31" x14ac:dyDescent="0.25">
      <c r="B775" s="82"/>
      <c r="R775"/>
      <c r="S775"/>
      <c r="T775"/>
      <c r="U775" s="84"/>
      <c r="W775" s="84"/>
      <c r="X775" s="84"/>
      <c r="Z775"/>
      <c r="AB775" s="84"/>
      <c r="AD775" s="83"/>
      <c r="AE775" s="83"/>
    </row>
    <row r="776" spans="2:31" x14ac:dyDescent="0.25">
      <c r="B776" s="82"/>
      <c r="R776"/>
      <c r="S776"/>
      <c r="T776"/>
      <c r="U776" s="84"/>
      <c r="W776" s="84"/>
      <c r="X776" s="84"/>
      <c r="Z776"/>
      <c r="AB776" s="84"/>
      <c r="AD776" s="83"/>
      <c r="AE776" s="83"/>
    </row>
    <row r="777" spans="2:31" x14ac:dyDescent="0.25">
      <c r="B777" s="82"/>
      <c r="R777"/>
      <c r="S777"/>
      <c r="T777"/>
      <c r="U777" s="84"/>
      <c r="W777" s="84"/>
      <c r="X777" s="84"/>
      <c r="Z777"/>
      <c r="AB777" s="84"/>
      <c r="AD777" s="83"/>
      <c r="AE777" s="83"/>
    </row>
    <row r="778" spans="2:31" x14ac:dyDescent="0.25">
      <c r="B778" s="82"/>
      <c r="R778"/>
      <c r="S778"/>
      <c r="T778"/>
      <c r="U778" s="84"/>
      <c r="W778" s="84"/>
      <c r="X778" s="84"/>
      <c r="Z778"/>
      <c r="AB778" s="84"/>
      <c r="AD778" s="83"/>
      <c r="AE778" s="83"/>
    </row>
    <row r="779" spans="2:31" x14ac:dyDescent="0.25">
      <c r="B779" s="82"/>
      <c r="R779"/>
      <c r="S779"/>
      <c r="T779"/>
      <c r="U779" s="84"/>
      <c r="W779" s="84"/>
      <c r="X779" s="84"/>
      <c r="Z779"/>
      <c r="AB779" s="84"/>
      <c r="AD779" s="83"/>
      <c r="AE779" s="83"/>
    </row>
    <row r="780" spans="2:31" x14ac:dyDescent="0.25">
      <c r="B780" s="82"/>
      <c r="R780"/>
      <c r="S780"/>
      <c r="T780"/>
      <c r="U780" s="84"/>
      <c r="W780" s="84"/>
      <c r="X780" s="84"/>
      <c r="Z780"/>
      <c r="AB780" s="84"/>
      <c r="AD780" s="83"/>
      <c r="AE780" s="83"/>
    </row>
    <row r="781" spans="2:31" x14ac:dyDescent="0.25">
      <c r="B781" s="82"/>
      <c r="R781"/>
      <c r="S781"/>
      <c r="T781"/>
      <c r="U781" s="84"/>
      <c r="W781" s="84"/>
      <c r="X781" s="84"/>
      <c r="Z781"/>
      <c r="AB781" s="84"/>
      <c r="AD781" s="83"/>
      <c r="AE781" s="83"/>
    </row>
    <row r="782" spans="2:31" x14ac:dyDescent="0.25">
      <c r="B782" s="82"/>
      <c r="R782"/>
      <c r="S782"/>
      <c r="T782"/>
      <c r="U782" s="84"/>
      <c r="W782" s="84"/>
      <c r="X782" s="84"/>
      <c r="Z782"/>
      <c r="AB782" s="84"/>
      <c r="AD782" s="83"/>
      <c r="AE782" s="83"/>
    </row>
    <row r="783" spans="2:31" x14ac:dyDescent="0.25">
      <c r="B783" s="82"/>
      <c r="R783"/>
      <c r="S783"/>
      <c r="T783"/>
      <c r="U783" s="84"/>
      <c r="W783" s="84"/>
      <c r="X783" s="84"/>
      <c r="Z783"/>
      <c r="AB783" s="84"/>
      <c r="AD783" s="83"/>
      <c r="AE783" s="83"/>
    </row>
    <row r="784" spans="2:31" x14ac:dyDescent="0.25">
      <c r="B784" s="82"/>
      <c r="R784"/>
      <c r="S784"/>
      <c r="T784"/>
      <c r="U784" s="84"/>
      <c r="W784" s="84"/>
      <c r="X784" s="84"/>
      <c r="Z784"/>
      <c r="AB784" s="84"/>
      <c r="AD784" s="83"/>
      <c r="AE784" s="83"/>
    </row>
    <row r="785" spans="2:31" x14ac:dyDescent="0.25">
      <c r="B785" s="82"/>
      <c r="R785"/>
      <c r="S785"/>
      <c r="T785"/>
      <c r="U785" s="84"/>
      <c r="W785" s="84"/>
      <c r="X785" s="84"/>
      <c r="Z785"/>
      <c r="AB785" s="84"/>
      <c r="AD785" s="83"/>
      <c r="AE785" s="83"/>
    </row>
    <row r="786" spans="2:31" x14ac:dyDescent="0.25">
      <c r="B786" s="82"/>
      <c r="R786"/>
      <c r="S786"/>
      <c r="T786"/>
      <c r="U786" s="84"/>
      <c r="W786" s="84"/>
      <c r="X786" s="84"/>
      <c r="Z786"/>
      <c r="AB786" s="84"/>
      <c r="AD786" s="83"/>
      <c r="AE786" s="83"/>
    </row>
    <row r="787" spans="2:31" x14ac:dyDescent="0.25">
      <c r="B787" s="82"/>
      <c r="R787"/>
      <c r="S787"/>
      <c r="T787"/>
      <c r="U787" s="84"/>
      <c r="W787" s="84"/>
      <c r="X787" s="84"/>
      <c r="Z787"/>
      <c r="AB787" s="84"/>
      <c r="AD787" s="83"/>
      <c r="AE787" s="83"/>
    </row>
    <row r="788" spans="2:31" x14ac:dyDescent="0.25">
      <c r="B788" s="82"/>
      <c r="R788"/>
      <c r="S788"/>
      <c r="T788"/>
      <c r="U788" s="84"/>
      <c r="W788" s="84"/>
      <c r="X788" s="84"/>
      <c r="Z788"/>
      <c r="AB788" s="84"/>
      <c r="AD788" s="83"/>
      <c r="AE788" s="83"/>
    </row>
    <row r="789" spans="2:31" x14ac:dyDescent="0.25">
      <c r="B789" s="82"/>
      <c r="R789"/>
      <c r="S789"/>
      <c r="T789"/>
      <c r="U789" s="84"/>
      <c r="W789" s="84"/>
      <c r="X789" s="84"/>
      <c r="Z789"/>
      <c r="AB789" s="84"/>
      <c r="AD789" s="83"/>
      <c r="AE789" s="83"/>
    </row>
    <row r="790" spans="2:31" x14ac:dyDescent="0.25">
      <c r="B790" s="82"/>
      <c r="R790"/>
      <c r="S790"/>
      <c r="T790"/>
      <c r="U790" s="84"/>
      <c r="W790" s="84"/>
      <c r="X790" s="84"/>
      <c r="Z790"/>
      <c r="AB790" s="84"/>
      <c r="AD790" s="83"/>
      <c r="AE790" s="83"/>
    </row>
    <row r="791" spans="2:31" x14ac:dyDescent="0.25">
      <c r="B791" s="82"/>
      <c r="R791"/>
      <c r="S791"/>
      <c r="T791"/>
      <c r="U791" s="84"/>
      <c r="W791" s="84"/>
      <c r="X791" s="84"/>
      <c r="Z791"/>
      <c r="AB791" s="84"/>
      <c r="AD791" s="83"/>
      <c r="AE791" s="83"/>
    </row>
    <row r="792" spans="2:31" x14ac:dyDescent="0.25">
      <c r="B792" s="82"/>
      <c r="R792"/>
      <c r="S792"/>
      <c r="T792"/>
      <c r="U792" s="84"/>
      <c r="W792" s="84"/>
      <c r="X792" s="84"/>
      <c r="Z792"/>
      <c r="AB792" s="84"/>
      <c r="AD792" s="83"/>
      <c r="AE792" s="83"/>
    </row>
    <row r="793" spans="2:31" x14ac:dyDescent="0.25">
      <c r="B793" s="82"/>
      <c r="R793"/>
      <c r="S793"/>
      <c r="T793"/>
      <c r="U793" s="84"/>
      <c r="W793" s="84"/>
      <c r="X793" s="84"/>
      <c r="Z793"/>
      <c r="AB793" s="84"/>
      <c r="AD793" s="83"/>
      <c r="AE793" s="83"/>
    </row>
    <row r="794" spans="2:31" x14ac:dyDescent="0.25">
      <c r="B794" s="82"/>
      <c r="R794"/>
      <c r="S794"/>
      <c r="T794"/>
      <c r="U794" s="84"/>
      <c r="W794" s="84"/>
      <c r="X794" s="84"/>
      <c r="Z794"/>
      <c r="AB794" s="84"/>
      <c r="AD794" s="83"/>
      <c r="AE794" s="83"/>
    </row>
    <row r="795" spans="2:31" x14ac:dyDescent="0.25">
      <c r="B795" s="82"/>
      <c r="R795"/>
      <c r="S795"/>
      <c r="T795"/>
      <c r="U795" s="84"/>
      <c r="W795" s="84"/>
      <c r="X795" s="84"/>
      <c r="Z795"/>
      <c r="AB795" s="84"/>
      <c r="AD795" s="83"/>
      <c r="AE795" s="83"/>
    </row>
    <row r="796" spans="2:31" x14ac:dyDescent="0.25">
      <c r="B796" s="82"/>
      <c r="R796"/>
      <c r="S796"/>
      <c r="T796"/>
      <c r="U796" s="84"/>
      <c r="W796" s="84"/>
      <c r="X796" s="84"/>
      <c r="Z796"/>
      <c r="AB796" s="84"/>
      <c r="AD796" s="83"/>
      <c r="AE796" s="83"/>
    </row>
    <row r="797" spans="2:31" x14ac:dyDescent="0.25">
      <c r="B797" s="82"/>
      <c r="R797"/>
      <c r="S797"/>
      <c r="T797"/>
      <c r="U797" s="84"/>
      <c r="W797" s="84"/>
      <c r="X797" s="84"/>
      <c r="Z797"/>
      <c r="AB797" s="84"/>
      <c r="AD797" s="83"/>
      <c r="AE797" s="83"/>
    </row>
    <row r="798" spans="2:31" x14ac:dyDescent="0.25">
      <c r="B798" s="82"/>
      <c r="R798"/>
      <c r="S798"/>
      <c r="T798"/>
      <c r="U798" s="84"/>
      <c r="W798" s="84"/>
      <c r="X798" s="84"/>
      <c r="Z798"/>
      <c r="AB798" s="84"/>
      <c r="AD798" s="83"/>
      <c r="AE798" s="83"/>
    </row>
    <row r="799" spans="2:31" x14ac:dyDescent="0.25">
      <c r="B799" s="82"/>
      <c r="R799"/>
      <c r="S799"/>
      <c r="T799"/>
      <c r="U799" s="84"/>
      <c r="W799" s="84"/>
      <c r="X799" s="84"/>
      <c r="Z799"/>
      <c r="AB799" s="84"/>
      <c r="AD799" s="83"/>
      <c r="AE799" s="83"/>
    </row>
    <row r="800" spans="2:31" x14ac:dyDescent="0.25">
      <c r="B800" s="82"/>
      <c r="R800"/>
      <c r="S800"/>
      <c r="T800"/>
      <c r="U800" s="84"/>
      <c r="W800" s="84"/>
      <c r="X800" s="84"/>
      <c r="Z800"/>
      <c r="AB800" s="84"/>
      <c r="AD800" s="83"/>
      <c r="AE800" s="83"/>
    </row>
    <row r="801" spans="2:31" x14ac:dyDescent="0.25">
      <c r="B801" s="82"/>
      <c r="R801"/>
      <c r="S801"/>
      <c r="T801"/>
      <c r="U801" s="84"/>
      <c r="W801" s="84"/>
      <c r="X801" s="84"/>
      <c r="Z801"/>
      <c r="AB801" s="84"/>
      <c r="AD801" s="83"/>
      <c r="AE801" s="83"/>
    </row>
    <row r="802" spans="2:31" x14ac:dyDescent="0.25">
      <c r="B802" s="82"/>
      <c r="R802"/>
      <c r="S802"/>
      <c r="T802"/>
      <c r="U802" s="84"/>
      <c r="W802" s="84"/>
      <c r="X802" s="84"/>
      <c r="Z802"/>
      <c r="AB802" s="84"/>
      <c r="AD802" s="83"/>
      <c r="AE802" s="83"/>
    </row>
    <row r="803" spans="2:31" x14ac:dyDescent="0.25">
      <c r="B803" s="82"/>
      <c r="R803"/>
      <c r="S803"/>
      <c r="T803"/>
      <c r="U803" s="84"/>
      <c r="W803" s="84"/>
      <c r="X803" s="84"/>
      <c r="Z803"/>
      <c r="AB803" s="84"/>
      <c r="AD803" s="83"/>
      <c r="AE803" s="83"/>
    </row>
    <row r="804" spans="2:31" x14ac:dyDescent="0.25">
      <c r="B804" s="82"/>
      <c r="R804"/>
      <c r="S804"/>
      <c r="T804"/>
      <c r="U804" s="84"/>
      <c r="W804" s="84"/>
      <c r="X804" s="84"/>
      <c r="Z804"/>
      <c r="AB804" s="84"/>
      <c r="AD804" s="83"/>
      <c r="AE804" s="83"/>
    </row>
    <row r="805" spans="2:31" x14ac:dyDescent="0.25">
      <c r="B805" s="82"/>
      <c r="R805"/>
      <c r="S805"/>
      <c r="T805"/>
      <c r="U805" s="84"/>
      <c r="W805" s="84"/>
      <c r="X805" s="84"/>
      <c r="Z805"/>
      <c r="AB805" s="84"/>
      <c r="AD805" s="83"/>
      <c r="AE805" s="83"/>
    </row>
    <row r="806" spans="2:31" x14ac:dyDescent="0.25">
      <c r="B806" s="82"/>
      <c r="R806"/>
      <c r="S806"/>
      <c r="T806"/>
      <c r="U806" s="84"/>
      <c r="W806" s="84"/>
      <c r="X806" s="84"/>
      <c r="Z806"/>
      <c r="AB806" s="84"/>
      <c r="AD806" s="83"/>
      <c r="AE806" s="83"/>
    </row>
    <row r="807" spans="2:31" x14ac:dyDescent="0.25">
      <c r="B807" s="82"/>
      <c r="R807"/>
      <c r="S807"/>
      <c r="T807"/>
      <c r="U807" s="84"/>
      <c r="W807" s="84"/>
      <c r="X807" s="84"/>
      <c r="Z807"/>
      <c r="AB807" s="84"/>
      <c r="AD807" s="83"/>
      <c r="AE807" s="83"/>
    </row>
    <row r="808" spans="2:31" x14ac:dyDescent="0.25">
      <c r="B808" s="82"/>
      <c r="R808"/>
      <c r="S808"/>
      <c r="T808"/>
      <c r="U808" s="84"/>
      <c r="W808" s="84"/>
      <c r="X808" s="84"/>
      <c r="Z808"/>
      <c r="AB808" s="84"/>
      <c r="AD808" s="83"/>
      <c r="AE808" s="83"/>
    </row>
    <row r="809" spans="2:31" x14ac:dyDescent="0.25">
      <c r="B809" s="82"/>
      <c r="R809"/>
      <c r="S809"/>
      <c r="T809"/>
      <c r="U809" s="84"/>
      <c r="W809" s="84"/>
      <c r="X809" s="84"/>
      <c r="Z809"/>
      <c r="AB809" s="84"/>
      <c r="AD809" s="83"/>
      <c r="AE809" s="83"/>
    </row>
    <row r="810" spans="2:31" x14ac:dyDescent="0.25">
      <c r="B810" s="82"/>
      <c r="R810"/>
      <c r="S810"/>
      <c r="T810"/>
      <c r="U810" s="84"/>
      <c r="W810" s="84"/>
      <c r="X810" s="84"/>
      <c r="Z810"/>
      <c r="AB810" s="84"/>
      <c r="AD810" s="83"/>
      <c r="AE810" s="83"/>
    </row>
    <row r="811" spans="2:31" x14ac:dyDescent="0.25">
      <c r="B811" s="82"/>
      <c r="R811"/>
      <c r="S811"/>
      <c r="T811"/>
      <c r="U811" s="84"/>
      <c r="W811" s="84"/>
      <c r="X811" s="84"/>
      <c r="Z811"/>
      <c r="AB811" s="84"/>
      <c r="AD811" s="83"/>
      <c r="AE811" s="83"/>
    </row>
    <row r="812" spans="2:31" x14ac:dyDescent="0.25">
      <c r="B812" s="82"/>
      <c r="R812"/>
      <c r="S812"/>
      <c r="T812"/>
      <c r="U812" s="84"/>
      <c r="W812" s="84"/>
      <c r="X812" s="84"/>
      <c r="Z812"/>
      <c r="AB812" s="84"/>
      <c r="AD812" s="83"/>
      <c r="AE812" s="83"/>
    </row>
    <row r="813" spans="2:31" x14ac:dyDescent="0.25">
      <c r="B813" s="82"/>
      <c r="R813"/>
      <c r="S813"/>
      <c r="T813"/>
      <c r="U813" s="84"/>
      <c r="W813" s="84"/>
      <c r="X813" s="84"/>
      <c r="Z813"/>
      <c r="AB813" s="84"/>
      <c r="AD813" s="83"/>
      <c r="AE813" s="83"/>
    </row>
    <row r="814" spans="2:31" x14ac:dyDescent="0.25">
      <c r="B814" s="82"/>
      <c r="R814"/>
      <c r="S814"/>
      <c r="T814"/>
      <c r="U814" s="84"/>
      <c r="W814" s="84"/>
      <c r="X814" s="84"/>
      <c r="Z814"/>
      <c r="AB814" s="84"/>
      <c r="AD814" s="83"/>
      <c r="AE814" s="83"/>
    </row>
    <row r="815" spans="2:31" x14ac:dyDescent="0.25">
      <c r="B815" s="82"/>
      <c r="R815"/>
      <c r="S815"/>
      <c r="T815"/>
      <c r="U815" s="84"/>
      <c r="W815" s="84"/>
      <c r="X815" s="84"/>
      <c r="Z815"/>
      <c r="AB815" s="84"/>
      <c r="AD815" s="83"/>
      <c r="AE815" s="83"/>
    </row>
    <row r="816" spans="2:31" x14ac:dyDescent="0.25">
      <c r="B816" s="82"/>
      <c r="R816"/>
      <c r="S816"/>
      <c r="T816"/>
      <c r="U816" s="84"/>
      <c r="W816" s="84"/>
      <c r="X816" s="84"/>
      <c r="Z816"/>
      <c r="AB816" s="84"/>
      <c r="AD816" s="83"/>
      <c r="AE816" s="83"/>
    </row>
    <row r="817" spans="2:31" x14ac:dyDescent="0.25">
      <c r="B817" s="82"/>
      <c r="R817"/>
      <c r="S817"/>
      <c r="T817"/>
      <c r="U817" s="84"/>
      <c r="W817" s="84"/>
      <c r="X817" s="84"/>
      <c r="Z817"/>
      <c r="AB817" s="84"/>
      <c r="AD817" s="83"/>
      <c r="AE817" s="83"/>
    </row>
    <row r="818" spans="2:31" x14ac:dyDescent="0.25">
      <c r="B818" s="82"/>
      <c r="R818"/>
      <c r="S818"/>
      <c r="T818"/>
      <c r="U818" s="84"/>
      <c r="W818" s="84"/>
      <c r="X818" s="84"/>
      <c r="Z818"/>
      <c r="AB818" s="84"/>
      <c r="AD818" s="83"/>
      <c r="AE818" s="83"/>
    </row>
    <row r="819" spans="2:31" x14ac:dyDescent="0.25">
      <c r="B819" s="82"/>
      <c r="R819"/>
      <c r="S819"/>
      <c r="T819"/>
      <c r="U819" s="84"/>
      <c r="W819" s="84"/>
      <c r="X819" s="84"/>
      <c r="Z819"/>
      <c r="AB819" s="84"/>
      <c r="AD819" s="83"/>
      <c r="AE819" s="83"/>
    </row>
    <row r="820" spans="2:31" x14ac:dyDescent="0.25">
      <c r="B820" s="82"/>
      <c r="R820"/>
      <c r="S820"/>
      <c r="T820"/>
      <c r="U820" s="84"/>
      <c r="W820" s="84"/>
      <c r="X820" s="84"/>
      <c r="Z820"/>
      <c r="AB820" s="84"/>
      <c r="AD820" s="83"/>
      <c r="AE820" s="83"/>
    </row>
    <row r="821" spans="2:31" x14ac:dyDescent="0.25">
      <c r="B821" s="82"/>
      <c r="R821"/>
      <c r="S821"/>
      <c r="T821"/>
      <c r="U821" s="84"/>
      <c r="W821" s="84"/>
      <c r="X821" s="84"/>
      <c r="Z821"/>
      <c r="AB821" s="84"/>
      <c r="AD821" s="83"/>
      <c r="AE821" s="83"/>
    </row>
    <row r="822" spans="2:31" x14ac:dyDescent="0.25">
      <c r="B822" s="82"/>
      <c r="R822"/>
      <c r="S822"/>
      <c r="T822"/>
      <c r="U822" s="84"/>
      <c r="W822" s="84"/>
      <c r="X822" s="84"/>
      <c r="Z822"/>
      <c r="AB822" s="84"/>
      <c r="AD822" s="83"/>
      <c r="AE822" s="83"/>
    </row>
    <row r="823" spans="2:31" x14ac:dyDescent="0.25">
      <c r="B823" s="82"/>
      <c r="R823"/>
      <c r="S823"/>
      <c r="T823"/>
      <c r="U823" s="84"/>
      <c r="W823" s="84"/>
      <c r="X823" s="84"/>
      <c r="Z823"/>
      <c r="AB823" s="84"/>
      <c r="AD823" s="83"/>
      <c r="AE823" s="83"/>
    </row>
    <row r="824" spans="2:31" x14ac:dyDescent="0.25">
      <c r="B824" s="82"/>
      <c r="R824"/>
      <c r="S824"/>
      <c r="T824"/>
      <c r="U824" s="84"/>
      <c r="W824" s="84"/>
      <c r="X824" s="84"/>
      <c r="Z824"/>
      <c r="AB824" s="84"/>
      <c r="AD824" s="83"/>
      <c r="AE824" s="83"/>
    </row>
    <row r="825" spans="2:31" x14ac:dyDescent="0.25">
      <c r="B825" s="82"/>
      <c r="R825"/>
      <c r="S825"/>
      <c r="T825"/>
      <c r="U825" s="84"/>
      <c r="W825" s="84"/>
      <c r="X825" s="84"/>
      <c r="Z825"/>
      <c r="AB825" s="84"/>
      <c r="AD825" s="83"/>
      <c r="AE825" s="83"/>
    </row>
    <row r="826" spans="2:31" x14ac:dyDescent="0.25">
      <c r="B826" s="82"/>
      <c r="R826"/>
      <c r="S826"/>
      <c r="T826"/>
      <c r="U826" s="84"/>
      <c r="W826" s="84"/>
      <c r="X826" s="84"/>
      <c r="Z826"/>
      <c r="AB826" s="84"/>
      <c r="AD826" s="83"/>
      <c r="AE826" s="83"/>
    </row>
    <row r="827" spans="2:31" x14ac:dyDescent="0.25">
      <c r="B827" s="82"/>
      <c r="R827"/>
      <c r="S827"/>
      <c r="T827"/>
      <c r="U827" s="84"/>
      <c r="W827" s="84"/>
      <c r="X827" s="84"/>
      <c r="Z827"/>
      <c r="AB827" s="84"/>
      <c r="AD827" s="83"/>
      <c r="AE827" s="83"/>
    </row>
    <row r="828" spans="2:31" x14ac:dyDescent="0.25">
      <c r="B828" s="82"/>
      <c r="R828"/>
      <c r="S828"/>
      <c r="T828"/>
      <c r="U828" s="84"/>
      <c r="W828" s="84"/>
      <c r="X828" s="84"/>
      <c r="Z828"/>
      <c r="AB828" s="84"/>
      <c r="AD828" s="83"/>
      <c r="AE828" s="83"/>
    </row>
    <row r="829" spans="2:31" x14ac:dyDescent="0.25">
      <c r="B829" s="82"/>
      <c r="R829"/>
      <c r="S829"/>
      <c r="T829"/>
      <c r="U829" s="84"/>
      <c r="W829" s="84"/>
      <c r="X829" s="84"/>
      <c r="Z829"/>
      <c r="AB829" s="84"/>
      <c r="AD829" s="83"/>
      <c r="AE829" s="83"/>
    </row>
    <row r="830" spans="2:31" x14ac:dyDescent="0.25">
      <c r="B830" s="82"/>
      <c r="R830"/>
      <c r="S830"/>
      <c r="T830"/>
      <c r="U830" s="84"/>
      <c r="W830" s="84"/>
      <c r="X830" s="84"/>
      <c r="Z830"/>
      <c r="AB830" s="84"/>
      <c r="AD830" s="83"/>
      <c r="AE830" s="83"/>
    </row>
    <row r="831" spans="2:31" x14ac:dyDescent="0.25">
      <c r="B831" s="82"/>
      <c r="R831"/>
      <c r="S831"/>
      <c r="T831"/>
      <c r="U831" s="84"/>
      <c r="W831" s="84"/>
      <c r="X831" s="84"/>
      <c r="Z831"/>
      <c r="AB831" s="84"/>
      <c r="AD831" s="83"/>
      <c r="AE831" s="83"/>
    </row>
    <row r="832" spans="2:31" x14ac:dyDescent="0.25">
      <c r="B832" s="82"/>
      <c r="R832"/>
      <c r="S832"/>
      <c r="T832"/>
      <c r="U832" s="84"/>
      <c r="W832" s="84"/>
      <c r="X832" s="84"/>
      <c r="Z832"/>
      <c r="AB832" s="84"/>
      <c r="AD832" s="83"/>
      <c r="AE832" s="83"/>
    </row>
    <row r="833" spans="2:31" x14ac:dyDescent="0.25">
      <c r="B833" s="82"/>
      <c r="R833"/>
      <c r="S833"/>
      <c r="T833"/>
      <c r="U833" s="84"/>
      <c r="W833" s="84"/>
      <c r="X833" s="84"/>
      <c r="Z833"/>
      <c r="AB833" s="84"/>
      <c r="AD833" s="83"/>
      <c r="AE833" s="83"/>
    </row>
    <row r="834" spans="2:31" x14ac:dyDescent="0.25">
      <c r="B834" s="82"/>
      <c r="R834"/>
      <c r="S834"/>
      <c r="T834"/>
      <c r="U834" s="84"/>
      <c r="W834" s="84"/>
      <c r="X834" s="84"/>
      <c r="Z834"/>
      <c r="AB834" s="84"/>
      <c r="AD834" s="83"/>
      <c r="AE834" s="83"/>
    </row>
    <row r="835" spans="2:31" x14ac:dyDescent="0.25">
      <c r="B835" s="82"/>
      <c r="R835"/>
      <c r="S835"/>
      <c r="T835"/>
      <c r="U835" s="84"/>
      <c r="W835" s="84"/>
      <c r="X835" s="84"/>
      <c r="Z835"/>
      <c r="AB835" s="84"/>
      <c r="AD835" s="83"/>
      <c r="AE835" s="83"/>
    </row>
    <row r="836" spans="2:31" x14ac:dyDescent="0.25">
      <c r="B836" s="82"/>
      <c r="R836"/>
      <c r="S836"/>
      <c r="T836"/>
      <c r="U836" s="84"/>
      <c r="W836" s="84"/>
      <c r="X836" s="84"/>
      <c r="Z836"/>
      <c r="AB836" s="84"/>
      <c r="AD836" s="83"/>
      <c r="AE836" s="83"/>
    </row>
    <row r="837" spans="2:31" x14ac:dyDescent="0.25">
      <c r="B837" s="82"/>
      <c r="R837"/>
      <c r="S837"/>
      <c r="T837"/>
      <c r="U837" s="84"/>
      <c r="W837" s="84"/>
      <c r="X837" s="84"/>
      <c r="Z837"/>
      <c r="AB837" s="84"/>
      <c r="AD837" s="83"/>
      <c r="AE837" s="83"/>
    </row>
    <row r="838" spans="2:31" x14ac:dyDescent="0.25">
      <c r="B838" s="82"/>
      <c r="R838"/>
      <c r="S838"/>
      <c r="T838"/>
      <c r="U838" s="84"/>
      <c r="W838" s="84"/>
      <c r="X838" s="84"/>
      <c r="Z838"/>
      <c r="AB838" s="84"/>
      <c r="AD838" s="83"/>
      <c r="AE838" s="83"/>
    </row>
    <row r="839" spans="2:31" x14ac:dyDescent="0.25">
      <c r="B839" s="82"/>
      <c r="R839"/>
      <c r="S839"/>
      <c r="T839"/>
      <c r="U839" s="84"/>
      <c r="W839" s="84"/>
      <c r="X839" s="84"/>
      <c r="Z839"/>
      <c r="AB839" s="84"/>
      <c r="AD839" s="83"/>
      <c r="AE839" s="83"/>
    </row>
    <row r="840" spans="2:31" x14ac:dyDescent="0.25">
      <c r="B840" s="82"/>
      <c r="R840"/>
      <c r="S840"/>
      <c r="T840"/>
      <c r="U840" s="84"/>
      <c r="W840" s="84"/>
      <c r="X840" s="84"/>
      <c r="Z840"/>
      <c r="AB840" s="84"/>
      <c r="AD840" s="83"/>
      <c r="AE840" s="83"/>
    </row>
    <row r="841" spans="2:31" x14ac:dyDescent="0.25">
      <c r="B841" s="82"/>
      <c r="R841"/>
      <c r="S841"/>
      <c r="T841"/>
      <c r="U841" s="84"/>
      <c r="W841" s="84"/>
      <c r="X841" s="84"/>
      <c r="Z841"/>
      <c r="AB841" s="84"/>
      <c r="AD841" s="83"/>
      <c r="AE841" s="83"/>
    </row>
    <row r="842" spans="2:31" x14ac:dyDescent="0.25">
      <c r="B842" s="82"/>
      <c r="R842"/>
      <c r="S842"/>
      <c r="T842"/>
      <c r="U842" s="84"/>
      <c r="W842" s="84"/>
      <c r="X842" s="84"/>
      <c r="Z842"/>
      <c r="AB842" s="84"/>
      <c r="AD842" s="83"/>
      <c r="AE842" s="83"/>
    </row>
    <row r="843" spans="2:31" x14ac:dyDescent="0.25">
      <c r="B843" s="82"/>
      <c r="R843"/>
      <c r="S843"/>
      <c r="T843"/>
      <c r="U843" s="84"/>
      <c r="W843" s="84"/>
      <c r="X843" s="84"/>
      <c r="Z843"/>
      <c r="AB843" s="84"/>
      <c r="AD843" s="83"/>
      <c r="AE843" s="83"/>
    </row>
    <row r="844" spans="2:31" x14ac:dyDescent="0.25">
      <c r="B844" s="82"/>
      <c r="R844"/>
      <c r="S844"/>
      <c r="T844"/>
      <c r="U844" s="84"/>
      <c r="W844" s="84"/>
      <c r="X844" s="84"/>
      <c r="Z844"/>
      <c r="AB844" s="84"/>
      <c r="AD844" s="83"/>
      <c r="AE844" s="83"/>
    </row>
    <row r="845" spans="2:31" x14ac:dyDescent="0.25">
      <c r="B845" s="82"/>
      <c r="R845"/>
      <c r="S845"/>
      <c r="T845"/>
      <c r="U845" s="84"/>
      <c r="W845" s="84"/>
      <c r="X845" s="84"/>
      <c r="Z845"/>
      <c r="AB845" s="84"/>
      <c r="AD845" s="83"/>
      <c r="AE845" s="83"/>
    </row>
    <row r="846" spans="2:31" x14ac:dyDescent="0.25">
      <c r="B846" s="82"/>
      <c r="R846"/>
      <c r="S846"/>
      <c r="T846"/>
      <c r="U846" s="84"/>
      <c r="W846" s="84"/>
      <c r="X846" s="84"/>
      <c r="Z846"/>
      <c r="AB846" s="84"/>
      <c r="AD846" s="83"/>
      <c r="AE846" s="83"/>
    </row>
    <row r="847" spans="2:31" x14ac:dyDescent="0.25">
      <c r="B847" s="82"/>
      <c r="R847"/>
      <c r="S847"/>
      <c r="T847"/>
      <c r="U847" s="84"/>
      <c r="W847" s="84"/>
      <c r="X847" s="84"/>
      <c r="Z847"/>
      <c r="AB847" s="84"/>
      <c r="AD847" s="83"/>
      <c r="AE847" s="83"/>
    </row>
    <row r="848" spans="2:31" x14ac:dyDescent="0.25">
      <c r="B848" s="82"/>
      <c r="R848"/>
      <c r="S848"/>
      <c r="T848"/>
      <c r="U848" s="84"/>
      <c r="W848" s="84"/>
      <c r="X848" s="84"/>
      <c r="Z848"/>
      <c r="AB848" s="84"/>
      <c r="AD848" s="83"/>
      <c r="AE848" s="83"/>
    </row>
    <row r="849" spans="2:31" x14ac:dyDescent="0.25">
      <c r="B849" s="82"/>
      <c r="R849"/>
      <c r="S849"/>
      <c r="T849"/>
      <c r="U849" s="84"/>
      <c r="W849" s="84"/>
      <c r="X849" s="84"/>
      <c r="Z849"/>
      <c r="AB849" s="84"/>
      <c r="AD849" s="83"/>
      <c r="AE849" s="83"/>
    </row>
    <row r="850" spans="2:31" x14ac:dyDescent="0.25">
      <c r="B850" s="82"/>
      <c r="R850"/>
      <c r="S850"/>
      <c r="T850"/>
      <c r="U850" s="84"/>
      <c r="W850" s="84"/>
      <c r="X850" s="84"/>
      <c r="Z850"/>
      <c r="AB850" s="84"/>
      <c r="AD850" s="83"/>
      <c r="AE850" s="83"/>
    </row>
    <row r="851" spans="2:31" x14ac:dyDescent="0.25">
      <c r="B851" s="82"/>
      <c r="R851"/>
      <c r="S851"/>
      <c r="T851"/>
      <c r="U851" s="84"/>
      <c r="W851" s="84"/>
      <c r="X851" s="84"/>
      <c r="Z851"/>
      <c r="AB851" s="84"/>
      <c r="AD851" s="83"/>
      <c r="AE851" s="83"/>
    </row>
    <row r="852" spans="2:31" x14ac:dyDescent="0.25">
      <c r="B852" s="82"/>
      <c r="R852"/>
      <c r="S852"/>
      <c r="T852"/>
      <c r="U852" s="84"/>
      <c r="W852" s="84"/>
      <c r="X852" s="84"/>
      <c r="Z852"/>
      <c r="AB852" s="84"/>
      <c r="AD852" s="83"/>
      <c r="AE852" s="83"/>
    </row>
    <row r="853" spans="2:31" x14ac:dyDescent="0.25">
      <c r="B853" s="82"/>
      <c r="R853"/>
      <c r="S853"/>
      <c r="T853"/>
      <c r="U853" s="84"/>
      <c r="W853" s="84"/>
      <c r="X853" s="84"/>
      <c r="Z853"/>
      <c r="AB853" s="84"/>
      <c r="AD853" s="83"/>
      <c r="AE853" s="83"/>
    </row>
    <row r="854" spans="2:31" x14ac:dyDescent="0.25">
      <c r="B854" s="82"/>
      <c r="R854"/>
      <c r="S854"/>
      <c r="T854"/>
      <c r="U854" s="84"/>
      <c r="W854" s="84"/>
      <c r="X854" s="84"/>
      <c r="Z854"/>
      <c r="AB854" s="84"/>
      <c r="AD854" s="83"/>
      <c r="AE854" s="83"/>
    </row>
    <row r="855" spans="2:31" x14ac:dyDescent="0.25">
      <c r="B855" s="82"/>
      <c r="R855"/>
      <c r="S855"/>
      <c r="T855"/>
      <c r="U855" s="84"/>
      <c r="W855" s="84"/>
      <c r="X855" s="84"/>
      <c r="Z855"/>
      <c r="AB855" s="84"/>
      <c r="AD855" s="83"/>
      <c r="AE855" s="83"/>
    </row>
    <row r="856" spans="2:31" x14ac:dyDescent="0.25">
      <c r="B856" s="82"/>
      <c r="R856"/>
      <c r="S856"/>
      <c r="T856"/>
      <c r="U856" s="84"/>
      <c r="W856" s="84"/>
      <c r="X856" s="84"/>
      <c r="Z856"/>
      <c r="AB856" s="84"/>
      <c r="AD856" s="83"/>
      <c r="AE856" s="83"/>
    </row>
    <row r="857" spans="2:31" x14ac:dyDescent="0.25">
      <c r="B857" s="82"/>
      <c r="R857"/>
      <c r="S857"/>
      <c r="T857"/>
      <c r="U857" s="84"/>
      <c r="W857" s="84"/>
      <c r="X857" s="84"/>
      <c r="Z857"/>
      <c r="AB857" s="84"/>
      <c r="AD857" s="83"/>
      <c r="AE857" s="83"/>
    </row>
    <row r="858" spans="2:31" x14ac:dyDescent="0.25">
      <c r="B858" s="82"/>
      <c r="R858"/>
      <c r="S858"/>
      <c r="T858"/>
      <c r="U858" s="84"/>
      <c r="W858" s="84"/>
      <c r="X858" s="84"/>
      <c r="Z858"/>
      <c r="AB858" s="84"/>
      <c r="AD858" s="83"/>
      <c r="AE858" s="83"/>
    </row>
    <row r="859" spans="2:31" x14ac:dyDescent="0.25">
      <c r="B859" s="82"/>
      <c r="R859"/>
      <c r="S859"/>
      <c r="T859"/>
      <c r="U859" s="84"/>
      <c r="W859" s="84"/>
      <c r="X859" s="84"/>
      <c r="Z859"/>
      <c r="AB859" s="84"/>
      <c r="AD859" s="83"/>
      <c r="AE859" s="83"/>
    </row>
    <row r="860" spans="2:31" x14ac:dyDescent="0.25">
      <c r="B860" s="82"/>
      <c r="R860"/>
      <c r="S860"/>
      <c r="T860"/>
      <c r="U860" s="84"/>
      <c r="W860" s="84"/>
      <c r="X860" s="84"/>
      <c r="Z860"/>
      <c r="AB860" s="84"/>
      <c r="AD860" s="83"/>
      <c r="AE860" s="83"/>
    </row>
    <row r="861" spans="2:31" x14ac:dyDescent="0.25">
      <c r="B861" s="82"/>
      <c r="R861"/>
      <c r="S861"/>
      <c r="T861"/>
      <c r="U861" s="84"/>
      <c r="W861" s="84"/>
      <c r="X861" s="84"/>
      <c r="Z861"/>
      <c r="AB861" s="84"/>
      <c r="AD861" s="83"/>
      <c r="AE861" s="83"/>
    </row>
    <row r="862" spans="2:31" x14ac:dyDescent="0.25">
      <c r="B862" s="82"/>
      <c r="R862"/>
      <c r="S862"/>
      <c r="T862"/>
      <c r="U862" s="84"/>
      <c r="W862" s="84"/>
      <c r="X862" s="84"/>
      <c r="Z862"/>
      <c r="AB862" s="84"/>
      <c r="AD862" s="83"/>
      <c r="AE862" s="83"/>
    </row>
    <row r="863" spans="2:31" x14ac:dyDescent="0.25">
      <c r="B863" s="82"/>
      <c r="R863"/>
      <c r="S863"/>
      <c r="T863"/>
      <c r="U863" s="84"/>
      <c r="W863" s="84"/>
      <c r="X863" s="84"/>
      <c r="Z863"/>
      <c r="AB863" s="84"/>
      <c r="AD863" s="83"/>
      <c r="AE863" s="83"/>
    </row>
    <row r="864" spans="2:31" x14ac:dyDescent="0.25">
      <c r="B864" s="82"/>
      <c r="R864"/>
      <c r="S864"/>
      <c r="T864"/>
      <c r="U864" s="84"/>
      <c r="W864" s="84"/>
      <c r="X864" s="84"/>
      <c r="Z864"/>
      <c r="AB864" s="84"/>
      <c r="AD864" s="83"/>
      <c r="AE864" s="83"/>
    </row>
    <row r="865" spans="2:31" x14ac:dyDescent="0.25">
      <c r="B865" s="82"/>
      <c r="R865"/>
      <c r="S865"/>
      <c r="T865"/>
      <c r="U865" s="84"/>
      <c r="W865" s="84"/>
      <c r="X865" s="84"/>
      <c r="Z865"/>
      <c r="AB865" s="84"/>
      <c r="AD865" s="83"/>
      <c r="AE865" s="83"/>
    </row>
    <row r="866" spans="2:31" x14ac:dyDescent="0.25">
      <c r="B866" s="82"/>
      <c r="R866"/>
      <c r="S866"/>
      <c r="T866"/>
      <c r="U866" s="84"/>
      <c r="W866" s="84"/>
      <c r="X866" s="84"/>
      <c r="Z866"/>
      <c r="AB866" s="84"/>
      <c r="AD866" s="83"/>
      <c r="AE866" s="83"/>
    </row>
    <row r="867" spans="2:31" x14ac:dyDescent="0.25">
      <c r="B867" s="82"/>
      <c r="R867"/>
      <c r="S867"/>
      <c r="T867"/>
      <c r="U867" s="84"/>
      <c r="W867" s="84"/>
      <c r="X867" s="84"/>
      <c r="Z867"/>
      <c r="AB867" s="84"/>
      <c r="AD867" s="83"/>
      <c r="AE867" s="83"/>
    </row>
    <row r="868" spans="2:31" x14ac:dyDescent="0.25">
      <c r="B868" s="82"/>
      <c r="R868"/>
      <c r="S868"/>
      <c r="T868"/>
      <c r="U868" s="84"/>
      <c r="W868" s="84"/>
      <c r="X868" s="84"/>
      <c r="Z868"/>
      <c r="AB868" s="84"/>
      <c r="AD868" s="83"/>
      <c r="AE868" s="83"/>
    </row>
    <row r="869" spans="2:31" x14ac:dyDescent="0.25">
      <c r="B869" s="82"/>
      <c r="R869"/>
      <c r="S869"/>
      <c r="T869"/>
      <c r="U869" s="84"/>
      <c r="W869" s="84"/>
      <c r="X869" s="84"/>
      <c r="Z869"/>
      <c r="AB869" s="84"/>
      <c r="AD869" s="83"/>
      <c r="AE869" s="83"/>
    </row>
    <row r="870" spans="2:31" x14ac:dyDescent="0.25">
      <c r="B870" s="82"/>
      <c r="R870"/>
      <c r="S870"/>
      <c r="T870"/>
      <c r="U870" s="84"/>
      <c r="W870" s="84"/>
      <c r="X870" s="84"/>
      <c r="Z870"/>
      <c r="AB870" s="84"/>
      <c r="AD870" s="83"/>
      <c r="AE870" s="83"/>
    </row>
    <row r="871" spans="2:31" x14ac:dyDescent="0.25">
      <c r="B871" s="82"/>
      <c r="R871"/>
      <c r="S871"/>
      <c r="T871"/>
      <c r="U871" s="84"/>
      <c r="W871" s="84"/>
      <c r="X871" s="84"/>
      <c r="Z871"/>
      <c r="AB871" s="84"/>
      <c r="AD871" s="83"/>
      <c r="AE871" s="83"/>
    </row>
    <row r="872" spans="2:31" x14ac:dyDescent="0.25">
      <c r="B872" s="82"/>
      <c r="R872"/>
      <c r="S872"/>
      <c r="T872"/>
      <c r="U872" s="84"/>
      <c r="W872" s="84"/>
      <c r="X872" s="84"/>
      <c r="Z872"/>
      <c r="AB872" s="84"/>
      <c r="AD872" s="83"/>
      <c r="AE872" s="83"/>
    </row>
    <row r="873" spans="2:31" x14ac:dyDescent="0.25">
      <c r="B873" s="82"/>
      <c r="R873"/>
      <c r="S873"/>
      <c r="T873"/>
      <c r="U873" s="84"/>
      <c r="W873" s="84"/>
      <c r="X873" s="84"/>
      <c r="Z873"/>
      <c r="AB873" s="84"/>
      <c r="AD873" s="83"/>
      <c r="AE873" s="83"/>
    </row>
    <row r="874" spans="2:31" x14ac:dyDescent="0.25">
      <c r="B874" s="82"/>
      <c r="R874"/>
      <c r="S874"/>
      <c r="T874"/>
      <c r="U874" s="84"/>
      <c r="W874" s="84"/>
      <c r="X874" s="84"/>
      <c r="Z874"/>
      <c r="AB874" s="84"/>
      <c r="AD874" s="83"/>
      <c r="AE874" s="83"/>
    </row>
    <row r="875" spans="2:31" x14ac:dyDescent="0.25">
      <c r="B875" s="82"/>
      <c r="R875"/>
      <c r="S875"/>
      <c r="T875"/>
      <c r="U875" s="84"/>
      <c r="W875" s="84"/>
      <c r="X875" s="84"/>
      <c r="Z875"/>
      <c r="AB875" s="84"/>
      <c r="AD875" s="83"/>
      <c r="AE875" s="83"/>
    </row>
    <row r="876" spans="2:31" x14ac:dyDescent="0.25">
      <c r="B876" s="82"/>
      <c r="R876"/>
      <c r="S876"/>
      <c r="T876"/>
      <c r="U876" s="84"/>
      <c r="W876" s="84"/>
      <c r="X876" s="84"/>
      <c r="Z876"/>
      <c r="AB876" s="84"/>
      <c r="AD876" s="83"/>
      <c r="AE876" s="83"/>
    </row>
    <row r="877" spans="2:31" x14ac:dyDescent="0.25">
      <c r="B877" s="82"/>
      <c r="R877"/>
      <c r="S877"/>
      <c r="T877"/>
      <c r="U877" s="84"/>
      <c r="W877" s="84"/>
      <c r="X877" s="84"/>
      <c r="Z877"/>
      <c r="AB877" s="84"/>
      <c r="AD877" s="83"/>
      <c r="AE877" s="83"/>
    </row>
    <row r="878" spans="2:31" x14ac:dyDescent="0.25">
      <c r="B878" s="82"/>
      <c r="R878"/>
      <c r="S878"/>
      <c r="T878"/>
      <c r="U878" s="84"/>
      <c r="W878" s="84"/>
      <c r="X878" s="84"/>
      <c r="Z878"/>
      <c r="AB878" s="84"/>
      <c r="AD878" s="83"/>
      <c r="AE878" s="83"/>
    </row>
    <row r="879" spans="2:31" x14ac:dyDescent="0.25">
      <c r="B879" s="82"/>
      <c r="R879"/>
      <c r="S879"/>
      <c r="T879"/>
      <c r="U879" s="84"/>
      <c r="W879" s="84"/>
      <c r="X879" s="84"/>
      <c r="Z879"/>
      <c r="AB879" s="84"/>
      <c r="AD879" s="83"/>
      <c r="AE879" s="83"/>
    </row>
    <row r="880" spans="2:31" x14ac:dyDescent="0.25">
      <c r="B880" s="82"/>
      <c r="R880"/>
      <c r="S880"/>
      <c r="T880"/>
      <c r="U880" s="84"/>
      <c r="W880" s="84"/>
      <c r="X880" s="84"/>
      <c r="Z880"/>
      <c r="AB880" s="84"/>
      <c r="AD880" s="83"/>
      <c r="AE880" s="83"/>
    </row>
    <row r="881" spans="2:31" x14ac:dyDescent="0.25">
      <c r="B881" s="82"/>
      <c r="R881"/>
      <c r="S881"/>
      <c r="T881"/>
      <c r="U881" s="84"/>
      <c r="W881" s="84"/>
      <c r="X881" s="84"/>
      <c r="Z881"/>
      <c r="AB881" s="84"/>
      <c r="AD881" s="83"/>
      <c r="AE881" s="83"/>
    </row>
    <row r="882" spans="2:31" x14ac:dyDescent="0.25">
      <c r="B882" s="82"/>
      <c r="R882"/>
      <c r="S882"/>
      <c r="T882"/>
      <c r="U882" s="84"/>
      <c r="W882" s="84"/>
      <c r="X882" s="84"/>
      <c r="Z882"/>
      <c r="AB882" s="84"/>
      <c r="AD882" s="83"/>
      <c r="AE882" s="83"/>
    </row>
    <row r="883" spans="2:31" x14ac:dyDescent="0.25">
      <c r="B883" s="82"/>
      <c r="R883"/>
      <c r="S883"/>
      <c r="T883"/>
      <c r="U883" s="84"/>
      <c r="W883" s="84"/>
      <c r="X883" s="84"/>
      <c r="Z883"/>
      <c r="AB883" s="84"/>
      <c r="AD883" s="83"/>
      <c r="AE883" s="83"/>
    </row>
    <row r="884" spans="2:31" x14ac:dyDescent="0.25">
      <c r="B884" s="82"/>
      <c r="R884"/>
      <c r="S884"/>
      <c r="T884"/>
      <c r="U884" s="84"/>
      <c r="W884" s="84"/>
      <c r="X884" s="84"/>
      <c r="Z884"/>
      <c r="AB884" s="84"/>
      <c r="AD884" s="83"/>
      <c r="AE884" s="83"/>
    </row>
    <row r="885" spans="2:31" x14ac:dyDescent="0.25">
      <c r="B885" s="82"/>
      <c r="R885"/>
      <c r="S885"/>
      <c r="T885"/>
      <c r="U885" s="84"/>
      <c r="W885" s="84"/>
      <c r="X885" s="84"/>
      <c r="Z885"/>
      <c r="AB885" s="84"/>
      <c r="AD885" s="83"/>
      <c r="AE885" s="83"/>
    </row>
    <row r="886" spans="2:31" x14ac:dyDescent="0.25">
      <c r="B886" s="82"/>
      <c r="R886"/>
      <c r="S886"/>
      <c r="T886"/>
      <c r="U886" s="84"/>
      <c r="W886" s="84"/>
      <c r="X886" s="84"/>
      <c r="Z886"/>
      <c r="AB886" s="84"/>
      <c r="AD886" s="83"/>
      <c r="AE886" s="83"/>
    </row>
    <row r="887" spans="2:31" x14ac:dyDescent="0.25">
      <c r="B887" s="82"/>
      <c r="R887"/>
      <c r="S887"/>
      <c r="T887"/>
      <c r="U887" s="84"/>
      <c r="W887" s="84"/>
      <c r="X887" s="84"/>
      <c r="Z887"/>
      <c r="AB887" s="84"/>
      <c r="AD887" s="83"/>
      <c r="AE887" s="83"/>
    </row>
    <row r="888" spans="2:31" x14ac:dyDescent="0.25">
      <c r="B888" s="82"/>
      <c r="R888"/>
      <c r="S888"/>
      <c r="T888"/>
      <c r="U888" s="84"/>
      <c r="W888" s="84"/>
      <c r="X888" s="84"/>
      <c r="Z888"/>
      <c r="AB888" s="84"/>
      <c r="AD888" s="83"/>
      <c r="AE888" s="83"/>
    </row>
    <row r="889" spans="2:31" x14ac:dyDescent="0.25">
      <c r="B889" s="82"/>
      <c r="R889"/>
      <c r="S889"/>
      <c r="T889"/>
      <c r="U889" s="84"/>
      <c r="W889" s="84"/>
      <c r="X889" s="84"/>
      <c r="Z889"/>
      <c r="AB889" s="84"/>
      <c r="AD889" s="83"/>
      <c r="AE889" s="83"/>
    </row>
    <row r="890" spans="2:31" x14ac:dyDescent="0.25">
      <c r="B890" s="82"/>
      <c r="R890"/>
      <c r="S890"/>
      <c r="T890"/>
      <c r="U890" s="84"/>
      <c r="W890" s="84"/>
      <c r="X890" s="84"/>
      <c r="Z890"/>
      <c r="AB890" s="84"/>
      <c r="AD890" s="83"/>
      <c r="AE890" s="83"/>
    </row>
    <row r="891" spans="2:31" x14ac:dyDescent="0.25">
      <c r="B891" s="82"/>
      <c r="R891"/>
      <c r="S891"/>
      <c r="T891"/>
      <c r="U891" s="84"/>
      <c r="W891" s="84"/>
      <c r="X891" s="84"/>
      <c r="Z891"/>
      <c r="AB891" s="84"/>
      <c r="AD891" s="83"/>
      <c r="AE891" s="83"/>
    </row>
    <row r="892" spans="2:31" x14ac:dyDescent="0.25">
      <c r="B892" s="82"/>
      <c r="R892"/>
      <c r="S892"/>
      <c r="T892"/>
      <c r="U892" s="84"/>
      <c r="W892" s="84"/>
      <c r="X892" s="84"/>
      <c r="Z892"/>
      <c r="AB892" s="84"/>
      <c r="AD892" s="83"/>
      <c r="AE892" s="83"/>
    </row>
    <row r="893" spans="2:31" x14ac:dyDescent="0.25">
      <c r="B893" s="82"/>
      <c r="R893"/>
      <c r="S893"/>
      <c r="T893"/>
      <c r="U893" s="84"/>
      <c r="W893" s="84"/>
      <c r="X893" s="84"/>
      <c r="Z893"/>
      <c r="AB893" s="84"/>
      <c r="AD893" s="83"/>
      <c r="AE893" s="83"/>
    </row>
    <row r="894" spans="2:31" x14ac:dyDescent="0.25">
      <c r="B894" s="82"/>
      <c r="R894"/>
      <c r="S894"/>
      <c r="T894"/>
      <c r="U894" s="84"/>
      <c r="W894" s="84"/>
      <c r="X894" s="84"/>
      <c r="Z894"/>
      <c r="AB894" s="84"/>
      <c r="AD894" s="83"/>
      <c r="AE894" s="83"/>
    </row>
    <row r="895" spans="2:31" x14ac:dyDescent="0.25">
      <c r="B895" s="82"/>
      <c r="R895"/>
      <c r="S895"/>
      <c r="T895"/>
      <c r="U895" s="84"/>
      <c r="W895" s="84"/>
      <c r="X895" s="84"/>
      <c r="Z895"/>
      <c r="AB895" s="84"/>
      <c r="AD895" s="83"/>
      <c r="AE895" s="83"/>
    </row>
    <row r="896" spans="2:31" x14ac:dyDescent="0.25">
      <c r="B896" s="82"/>
      <c r="R896"/>
      <c r="S896"/>
      <c r="T896"/>
      <c r="U896" s="84"/>
      <c r="W896" s="84"/>
      <c r="X896" s="84"/>
      <c r="Z896"/>
      <c r="AB896" s="84"/>
      <c r="AD896" s="83"/>
      <c r="AE896" s="83"/>
    </row>
    <row r="897" spans="2:31" x14ac:dyDescent="0.25">
      <c r="B897" s="82"/>
      <c r="R897"/>
      <c r="S897"/>
      <c r="T897"/>
      <c r="U897" s="84"/>
      <c r="W897" s="84"/>
      <c r="X897" s="84"/>
      <c r="Z897"/>
      <c r="AB897" s="84"/>
      <c r="AD897" s="83"/>
      <c r="AE897" s="83"/>
    </row>
    <row r="898" spans="2:31" x14ac:dyDescent="0.25">
      <c r="B898" s="82"/>
      <c r="R898"/>
      <c r="S898"/>
      <c r="T898"/>
      <c r="U898" s="84"/>
      <c r="W898" s="84"/>
      <c r="X898" s="84"/>
      <c r="Z898"/>
      <c r="AB898" s="84"/>
      <c r="AD898" s="83"/>
      <c r="AE898" s="83"/>
    </row>
    <row r="899" spans="2:31" x14ac:dyDescent="0.25">
      <c r="B899" s="82"/>
      <c r="R899"/>
      <c r="S899"/>
      <c r="T899"/>
      <c r="U899" s="84"/>
      <c r="W899" s="84"/>
      <c r="X899" s="84"/>
      <c r="Z899"/>
      <c r="AB899" s="84"/>
      <c r="AD899" s="83"/>
      <c r="AE899" s="83"/>
    </row>
    <row r="900" spans="2:31" x14ac:dyDescent="0.25">
      <c r="B900" s="82"/>
      <c r="R900"/>
      <c r="S900"/>
      <c r="T900"/>
      <c r="U900" s="84"/>
      <c r="W900" s="84"/>
      <c r="X900" s="84"/>
      <c r="Z900"/>
      <c r="AB900" s="84"/>
      <c r="AD900" s="83"/>
      <c r="AE900" s="83"/>
    </row>
    <row r="901" spans="2:31" x14ac:dyDescent="0.25">
      <c r="B901" s="82"/>
      <c r="R901"/>
      <c r="S901"/>
      <c r="T901"/>
      <c r="U901" s="84"/>
      <c r="W901" s="84"/>
      <c r="X901" s="84"/>
      <c r="Z901"/>
      <c r="AB901" s="84"/>
      <c r="AD901" s="83"/>
      <c r="AE901" s="83"/>
    </row>
    <row r="902" spans="2:31" x14ac:dyDescent="0.25">
      <c r="B902" s="82"/>
      <c r="R902"/>
      <c r="S902"/>
      <c r="T902"/>
      <c r="U902" s="84"/>
      <c r="W902" s="84"/>
      <c r="X902" s="84"/>
      <c r="Z902"/>
      <c r="AB902" s="84"/>
      <c r="AD902" s="83"/>
      <c r="AE902" s="83"/>
    </row>
    <row r="903" spans="2:31" x14ac:dyDescent="0.25">
      <c r="B903" s="82"/>
      <c r="R903"/>
      <c r="S903"/>
      <c r="T903"/>
      <c r="U903" s="84"/>
      <c r="W903" s="84"/>
      <c r="X903" s="84"/>
      <c r="Z903"/>
      <c r="AB903" s="84"/>
      <c r="AD903" s="83"/>
      <c r="AE903" s="83"/>
    </row>
    <row r="904" spans="2:31" x14ac:dyDescent="0.25">
      <c r="B904" s="82"/>
      <c r="R904"/>
      <c r="S904"/>
      <c r="T904"/>
      <c r="U904" s="84"/>
      <c r="W904" s="84"/>
      <c r="X904" s="84"/>
      <c r="Z904"/>
      <c r="AB904" s="84"/>
      <c r="AD904" s="83"/>
      <c r="AE904" s="83"/>
    </row>
    <row r="905" spans="2:31" x14ac:dyDescent="0.25">
      <c r="B905" s="82"/>
      <c r="R905"/>
      <c r="S905"/>
      <c r="T905"/>
      <c r="U905" s="84"/>
      <c r="W905" s="84"/>
      <c r="X905" s="84"/>
      <c r="Z905"/>
      <c r="AB905" s="84"/>
      <c r="AD905" s="83"/>
      <c r="AE905" s="83"/>
    </row>
    <row r="906" spans="2:31" x14ac:dyDescent="0.25">
      <c r="B906" s="82"/>
      <c r="R906"/>
      <c r="S906"/>
      <c r="T906"/>
      <c r="U906" s="84"/>
      <c r="W906" s="84"/>
      <c r="X906" s="84"/>
      <c r="Z906"/>
      <c r="AB906" s="84"/>
      <c r="AD906" s="83"/>
      <c r="AE906" s="83"/>
    </row>
    <row r="907" spans="2:31" x14ac:dyDescent="0.25">
      <c r="B907" s="82"/>
      <c r="R907"/>
      <c r="S907"/>
      <c r="T907"/>
      <c r="U907" s="84"/>
      <c r="W907" s="84"/>
      <c r="X907" s="84"/>
      <c r="Z907"/>
      <c r="AB907" s="84"/>
      <c r="AD907" s="83"/>
      <c r="AE907" s="83"/>
    </row>
    <row r="908" spans="2:31" x14ac:dyDescent="0.25">
      <c r="B908" s="82"/>
      <c r="R908"/>
      <c r="S908"/>
      <c r="T908"/>
      <c r="U908" s="84"/>
      <c r="W908" s="84"/>
      <c r="X908" s="84"/>
      <c r="Z908"/>
      <c r="AB908" s="84"/>
      <c r="AD908" s="83"/>
      <c r="AE908" s="83"/>
    </row>
    <row r="909" spans="2:31" x14ac:dyDescent="0.25">
      <c r="B909" s="82"/>
      <c r="R909"/>
      <c r="S909"/>
      <c r="T909"/>
      <c r="U909" s="84"/>
      <c r="W909" s="84"/>
      <c r="X909" s="84"/>
      <c r="Z909"/>
      <c r="AB909" s="84"/>
      <c r="AD909" s="83"/>
      <c r="AE909" s="83"/>
    </row>
    <row r="910" spans="2:31" x14ac:dyDescent="0.25">
      <c r="B910" s="82"/>
      <c r="R910"/>
      <c r="S910"/>
      <c r="T910"/>
      <c r="U910" s="84"/>
      <c r="W910" s="84"/>
      <c r="X910" s="84"/>
      <c r="Z910"/>
      <c r="AB910" s="84"/>
      <c r="AD910" s="83"/>
      <c r="AE910" s="83"/>
    </row>
    <row r="911" spans="2:31" x14ac:dyDescent="0.25">
      <c r="B911" s="82"/>
      <c r="R911"/>
      <c r="S911"/>
      <c r="T911"/>
      <c r="U911" s="84"/>
      <c r="W911" s="84"/>
      <c r="X911" s="84"/>
      <c r="Z911"/>
      <c r="AB911" s="84"/>
      <c r="AD911" s="83"/>
      <c r="AE911" s="83"/>
    </row>
    <row r="912" spans="2:31" x14ac:dyDescent="0.25">
      <c r="B912" s="82"/>
      <c r="R912"/>
      <c r="S912"/>
      <c r="T912"/>
      <c r="U912" s="84"/>
      <c r="W912" s="84"/>
      <c r="X912" s="84"/>
      <c r="Z912"/>
      <c r="AB912" s="84"/>
      <c r="AD912" s="83"/>
      <c r="AE912" s="83"/>
    </row>
    <row r="913" spans="2:31" x14ac:dyDescent="0.25">
      <c r="B913" s="82"/>
      <c r="R913"/>
      <c r="S913"/>
      <c r="T913"/>
      <c r="U913" s="84"/>
      <c r="W913" s="84"/>
      <c r="X913" s="84"/>
      <c r="Z913"/>
      <c r="AB913" s="84"/>
      <c r="AD913" s="83"/>
      <c r="AE913" s="83"/>
    </row>
    <row r="914" spans="2:31" x14ac:dyDescent="0.25">
      <c r="B914" s="82"/>
      <c r="R914"/>
      <c r="S914"/>
      <c r="T914"/>
      <c r="U914" s="84"/>
      <c r="W914" s="84"/>
      <c r="X914" s="84"/>
      <c r="Z914"/>
      <c r="AB914" s="84"/>
      <c r="AD914" s="83"/>
      <c r="AE914" s="83"/>
    </row>
    <row r="915" spans="2:31" x14ac:dyDescent="0.25">
      <c r="B915" s="82"/>
      <c r="R915"/>
      <c r="S915"/>
      <c r="T915"/>
      <c r="U915" s="84"/>
      <c r="W915" s="84"/>
      <c r="X915" s="84"/>
      <c r="Z915"/>
      <c r="AB915" s="84"/>
      <c r="AD915" s="83"/>
      <c r="AE915" s="83"/>
    </row>
    <row r="916" spans="2:31" x14ac:dyDescent="0.25">
      <c r="B916" s="82"/>
      <c r="R916"/>
      <c r="S916"/>
      <c r="T916"/>
      <c r="U916" s="84"/>
      <c r="W916" s="84"/>
      <c r="X916" s="84"/>
      <c r="Z916"/>
      <c r="AB916" s="84"/>
      <c r="AD916" s="83"/>
      <c r="AE916" s="83"/>
    </row>
    <row r="917" spans="2:31" x14ac:dyDescent="0.25">
      <c r="B917" s="82"/>
      <c r="R917"/>
      <c r="S917"/>
      <c r="T917"/>
      <c r="U917" s="84"/>
      <c r="W917" s="84"/>
      <c r="X917" s="84"/>
      <c r="Z917"/>
      <c r="AB917" s="84"/>
      <c r="AD917" s="83"/>
      <c r="AE917" s="83"/>
    </row>
    <row r="918" spans="2:31" x14ac:dyDescent="0.25">
      <c r="B918" s="82"/>
      <c r="R918"/>
      <c r="S918"/>
      <c r="T918"/>
      <c r="U918" s="84"/>
      <c r="W918" s="84"/>
      <c r="X918" s="84"/>
      <c r="Z918"/>
      <c r="AB918" s="84"/>
      <c r="AD918" s="83"/>
      <c r="AE918" s="83"/>
    </row>
    <row r="919" spans="2:31" x14ac:dyDescent="0.25">
      <c r="B919" s="82"/>
      <c r="R919"/>
      <c r="S919"/>
      <c r="T919"/>
      <c r="U919" s="84"/>
      <c r="W919" s="84"/>
      <c r="X919" s="84"/>
      <c r="Z919"/>
      <c r="AB919" s="84"/>
      <c r="AD919" s="83"/>
      <c r="AE919" s="83"/>
    </row>
    <row r="920" spans="2:31" x14ac:dyDescent="0.25">
      <c r="B920" s="82"/>
      <c r="R920"/>
      <c r="S920"/>
      <c r="T920"/>
      <c r="U920" s="84"/>
      <c r="W920" s="84"/>
      <c r="X920" s="84"/>
      <c r="Z920"/>
      <c r="AB920" s="84"/>
      <c r="AD920" s="83"/>
      <c r="AE920" s="83"/>
    </row>
    <row r="921" spans="2:31" x14ac:dyDescent="0.25">
      <c r="B921" s="82"/>
      <c r="R921"/>
      <c r="S921"/>
      <c r="T921"/>
      <c r="U921" s="84"/>
      <c r="W921" s="84"/>
      <c r="X921" s="84"/>
      <c r="Z921"/>
      <c r="AB921" s="84"/>
      <c r="AD921" s="83"/>
      <c r="AE921" s="83"/>
    </row>
    <row r="922" spans="2:31" x14ac:dyDescent="0.25">
      <c r="B922" s="82"/>
      <c r="R922"/>
      <c r="S922"/>
      <c r="T922"/>
      <c r="U922" s="84"/>
      <c r="W922" s="84"/>
      <c r="X922" s="84"/>
      <c r="Z922"/>
      <c r="AB922" s="84"/>
      <c r="AD922" s="83"/>
      <c r="AE922" s="83"/>
    </row>
    <row r="923" spans="2:31" x14ac:dyDescent="0.25">
      <c r="B923" s="82"/>
      <c r="R923"/>
      <c r="S923"/>
      <c r="T923"/>
      <c r="U923" s="84"/>
      <c r="W923" s="84"/>
      <c r="X923" s="84"/>
      <c r="Z923"/>
      <c r="AB923" s="84"/>
      <c r="AD923" s="83"/>
      <c r="AE923" s="83"/>
    </row>
    <row r="924" spans="2:31" x14ac:dyDescent="0.25">
      <c r="B924" s="82"/>
      <c r="R924"/>
      <c r="S924"/>
      <c r="T924"/>
      <c r="U924" s="84"/>
      <c r="W924" s="84"/>
      <c r="X924" s="84"/>
      <c r="Z924"/>
      <c r="AB924" s="84"/>
      <c r="AD924" s="83"/>
      <c r="AE924" s="83"/>
    </row>
    <row r="925" spans="2:31" x14ac:dyDescent="0.25">
      <c r="B925" s="82"/>
      <c r="R925"/>
      <c r="S925"/>
      <c r="T925"/>
      <c r="U925" s="84"/>
      <c r="W925" s="84"/>
      <c r="X925" s="84"/>
      <c r="Z925"/>
      <c r="AB925" s="84"/>
      <c r="AD925" s="83"/>
      <c r="AE925" s="83"/>
    </row>
    <row r="926" spans="2:31" x14ac:dyDescent="0.25">
      <c r="B926" s="82"/>
      <c r="R926"/>
      <c r="S926"/>
      <c r="T926"/>
      <c r="U926" s="84"/>
      <c r="W926" s="84"/>
      <c r="X926" s="84"/>
      <c r="Z926"/>
      <c r="AB926" s="84"/>
      <c r="AD926" s="83"/>
      <c r="AE926" s="83"/>
    </row>
    <row r="927" spans="2:31" x14ac:dyDescent="0.25">
      <c r="B927" s="82"/>
      <c r="R927"/>
      <c r="S927"/>
      <c r="T927"/>
      <c r="U927" s="84"/>
      <c r="W927" s="84"/>
      <c r="X927" s="84"/>
      <c r="Z927"/>
      <c r="AB927" s="84"/>
      <c r="AD927" s="83"/>
      <c r="AE927" s="83"/>
    </row>
    <row r="928" spans="2:31" x14ac:dyDescent="0.25">
      <c r="B928" s="82"/>
      <c r="R928"/>
      <c r="S928"/>
      <c r="T928"/>
      <c r="U928" s="84"/>
      <c r="W928" s="84"/>
      <c r="X928" s="84"/>
      <c r="Z928"/>
      <c r="AB928" s="84"/>
      <c r="AD928" s="83"/>
      <c r="AE928" s="83"/>
    </row>
    <row r="929" spans="2:31" x14ac:dyDescent="0.25">
      <c r="B929" s="82"/>
      <c r="R929"/>
      <c r="S929"/>
      <c r="T929"/>
      <c r="U929" s="84"/>
      <c r="W929" s="84"/>
      <c r="X929" s="84"/>
      <c r="Z929"/>
      <c r="AB929" s="84"/>
      <c r="AD929" s="83"/>
      <c r="AE929" s="83"/>
    </row>
    <row r="930" spans="2:31" x14ac:dyDescent="0.25">
      <c r="B930" s="82"/>
      <c r="R930"/>
      <c r="S930"/>
      <c r="T930"/>
      <c r="U930" s="84"/>
      <c r="W930" s="84"/>
      <c r="X930" s="84"/>
      <c r="Z930"/>
      <c r="AB930" s="84"/>
      <c r="AD930" s="83"/>
      <c r="AE930" s="83"/>
    </row>
    <row r="931" spans="2:31" x14ac:dyDescent="0.25">
      <c r="B931" s="82"/>
      <c r="R931"/>
      <c r="S931"/>
      <c r="T931"/>
      <c r="U931" s="84"/>
      <c r="W931" s="84"/>
      <c r="X931" s="84"/>
      <c r="Z931"/>
      <c r="AB931" s="84"/>
      <c r="AD931" s="83"/>
      <c r="AE931" s="83"/>
    </row>
    <row r="932" spans="2:31" x14ac:dyDescent="0.25">
      <c r="B932" s="82"/>
      <c r="R932"/>
      <c r="S932"/>
      <c r="T932"/>
      <c r="U932" s="84"/>
      <c r="W932" s="84"/>
      <c r="X932" s="84"/>
      <c r="Z932"/>
      <c r="AB932" s="84"/>
      <c r="AD932" s="83"/>
      <c r="AE932" s="83"/>
    </row>
    <row r="933" spans="2:31" x14ac:dyDescent="0.25">
      <c r="B933" s="82"/>
      <c r="R933"/>
      <c r="S933"/>
      <c r="T933"/>
      <c r="U933" s="84"/>
      <c r="W933" s="84"/>
      <c r="X933" s="84"/>
      <c r="Z933"/>
      <c r="AB933" s="84"/>
      <c r="AD933" s="83"/>
      <c r="AE933" s="83"/>
    </row>
    <row r="934" spans="2:31" x14ac:dyDescent="0.25">
      <c r="B934" s="82"/>
      <c r="R934"/>
      <c r="S934"/>
      <c r="T934"/>
      <c r="U934" s="84"/>
      <c r="W934" s="84"/>
      <c r="X934" s="84"/>
      <c r="Z934"/>
      <c r="AB934" s="84"/>
      <c r="AD934" s="83"/>
      <c r="AE934" s="83"/>
    </row>
    <row r="935" spans="2:31" x14ac:dyDescent="0.25">
      <c r="B935" s="82"/>
      <c r="R935"/>
      <c r="S935"/>
      <c r="T935"/>
      <c r="U935" s="84"/>
      <c r="W935" s="84"/>
      <c r="X935" s="84"/>
      <c r="Z935"/>
      <c r="AB935" s="84"/>
      <c r="AD935" s="83"/>
      <c r="AE935" s="83"/>
    </row>
    <row r="936" spans="2:31" x14ac:dyDescent="0.25">
      <c r="B936" s="82"/>
      <c r="R936"/>
      <c r="S936"/>
      <c r="T936"/>
      <c r="U936" s="84"/>
      <c r="W936" s="84"/>
      <c r="X936" s="84"/>
      <c r="Z936"/>
      <c r="AB936" s="84"/>
      <c r="AD936" s="83"/>
      <c r="AE936" s="83"/>
    </row>
    <row r="937" spans="2:31" x14ac:dyDescent="0.25">
      <c r="B937" s="82"/>
      <c r="R937"/>
      <c r="S937"/>
      <c r="T937"/>
      <c r="U937" s="84"/>
      <c r="W937" s="84"/>
      <c r="X937" s="84"/>
      <c r="Z937"/>
      <c r="AB937" s="84"/>
      <c r="AD937" s="83"/>
      <c r="AE937" s="83"/>
    </row>
    <row r="938" spans="2:31" x14ac:dyDescent="0.25">
      <c r="B938" s="82"/>
      <c r="R938"/>
      <c r="S938"/>
      <c r="T938"/>
      <c r="U938" s="84"/>
      <c r="W938" s="84"/>
      <c r="X938" s="84"/>
      <c r="Z938"/>
      <c r="AB938" s="84"/>
      <c r="AD938" s="83"/>
      <c r="AE938" s="83"/>
    </row>
    <row r="939" spans="2:31" x14ac:dyDescent="0.25">
      <c r="B939" s="82"/>
      <c r="R939"/>
      <c r="S939"/>
      <c r="T939"/>
      <c r="U939" s="84"/>
      <c r="W939" s="84"/>
      <c r="X939" s="84"/>
      <c r="Z939"/>
      <c r="AB939" s="84"/>
      <c r="AD939" s="83"/>
      <c r="AE939" s="83"/>
    </row>
    <row r="940" spans="2:31" x14ac:dyDescent="0.25">
      <c r="B940" s="82"/>
      <c r="R940"/>
      <c r="S940"/>
      <c r="T940"/>
      <c r="U940" s="84"/>
      <c r="W940" s="84"/>
      <c r="X940" s="84"/>
      <c r="Z940"/>
      <c r="AB940" s="84"/>
      <c r="AD940" s="83"/>
      <c r="AE940" s="83"/>
    </row>
    <row r="941" spans="2:31" x14ac:dyDescent="0.25">
      <c r="B941" s="82"/>
      <c r="R941"/>
      <c r="S941"/>
      <c r="T941"/>
      <c r="U941" s="84"/>
      <c r="W941" s="84"/>
      <c r="X941" s="84"/>
      <c r="Z941"/>
      <c r="AB941" s="84"/>
      <c r="AD941" s="83"/>
      <c r="AE941" s="83"/>
    </row>
    <row r="942" spans="2:31" x14ac:dyDescent="0.25">
      <c r="B942" s="82"/>
      <c r="R942"/>
      <c r="S942"/>
      <c r="T942"/>
      <c r="U942" s="84"/>
      <c r="W942" s="84"/>
      <c r="X942" s="84"/>
      <c r="Z942"/>
      <c r="AB942" s="84"/>
      <c r="AD942" s="83"/>
      <c r="AE942" s="83"/>
    </row>
    <row r="943" spans="2:31" x14ac:dyDescent="0.25">
      <c r="B943" s="82"/>
      <c r="R943"/>
      <c r="S943"/>
      <c r="T943"/>
      <c r="U943" s="84"/>
      <c r="W943" s="84"/>
      <c r="X943" s="84"/>
      <c r="Z943"/>
      <c r="AB943" s="84"/>
      <c r="AD943" s="83"/>
      <c r="AE943" s="83"/>
    </row>
    <row r="944" spans="2:31" x14ac:dyDescent="0.25">
      <c r="B944" s="82"/>
      <c r="R944"/>
      <c r="S944"/>
      <c r="T944"/>
      <c r="U944" s="84"/>
      <c r="W944" s="84"/>
      <c r="X944" s="84"/>
      <c r="Z944"/>
      <c r="AB944" s="84"/>
      <c r="AD944" s="83"/>
      <c r="AE944" s="83"/>
    </row>
    <row r="945" spans="2:31" x14ac:dyDescent="0.25">
      <c r="B945" s="82"/>
      <c r="R945"/>
      <c r="S945"/>
      <c r="T945"/>
      <c r="U945" s="84"/>
      <c r="W945" s="84"/>
      <c r="X945" s="84"/>
      <c r="Z945"/>
      <c r="AB945" s="84"/>
      <c r="AD945" s="83"/>
      <c r="AE945" s="83"/>
    </row>
    <row r="946" spans="2:31" x14ac:dyDescent="0.25">
      <c r="B946" s="82"/>
      <c r="R946"/>
      <c r="S946"/>
      <c r="T946"/>
      <c r="U946" s="84"/>
      <c r="W946" s="84"/>
      <c r="X946" s="84"/>
      <c r="Z946"/>
      <c r="AB946" s="84"/>
      <c r="AD946" s="83"/>
      <c r="AE946" s="83"/>
    </row>
    <row r="947" spans="2:31" x14ac:dyDescent="0.25">
      <c r="B947" s="82"/>
      <c r="R947"/>
      <c r="S947"/>
      <c r="T947"/>
      <c r="U947" s="84"/>
      <c r="W947" s="84"/>
      <c r="X947" s="84"/>
      <c r="Z947"/>
      <c r="AB947" s="84"/>
      <c r="AD947" s="83"/>
      <c r="AE947" s="83"/>
    </row>
    <row r="948" spans="2:31" x14ac:dyDescent="0.25">
      <c r="B948" s="82"/>
      <c r="R948"/>
      <c r="S948"/>
      <c r="T948"/>
      <c r="U948" s="84"/>
      <c r="W948" s="84"/>
      <c r="X948" s="84"/>
      <c r="Z948"/>
      <c r="AB948" s="84"/>
      <c r="AD948" s="83"/>
      <c r="AE948" s="83"/>
    </row>
    <row r="949" spans="2:31" x14ac:dyDescent="0.25">
      <c r="B949" s="82"/>
      <c r="R949"/>
      <c r="S949"/>
      <c r="T949"/>
      <c r="U949" s="84"/>
      <c r="W949" s="84"/>
      <c r="X949" s="84"/>
      <c r="Z949"/>
      <c r="AB949" s="84"/>
      <c r="AD949" s="83"/>
      <c r="AE949" s="83"/>
    </row>
    <row r="950" spans="2:31" x14ac:dyDescent="0.25">
      <c r="B950" s="82"/>
      <c r="R950"/>
      <c r="S950"/>
      <c r="T950"/>
      <c r="U950" s="84"/>
      <c r="W950" s="84"/>
      <c r="X950" s="84"/>
      <c r="Z950"/>
      <c r="AB950" s="84"/>
      <c r="AD950" s="83"/>
      <c r="AE950" s="83"/>
    </row>
    <row r="951" spans="2:31" x14ac:dyDescent="0.25">
      <c r="B951" s="82"/>
      <c r="R951"/>
      <c r="S951"/>
      <c r="T951"/>
      <c r="U951" s="84"/>
      <c r="W951" s="84"/>
      <c r="X951" s="84"/>
      <c r="Z951"/>
      <c r="AB951" s="84"/>
      <c r="AD951" s="83"/>
      <c r="AE951" s="83"/>
    </row>
    <row r="952" spans="2:31" x14ac:dyDescent="0.25">
      <c r="B952" s="82"/>
      <c r="R952"/>
      <c r="S952"/>
      <c r="T952"/>
      <c r="U952" s="84"/>
      <c r="W952" s="84"/>
      <c r="X952" s="84"/>
      <c r="Z952"/>
      <c r="AB952" s="84"/>
      <c r="AD952" s="83"/>
      <c r="AE952" s="83"/>
    </row>
    <row r="953" spans="2:31" x14ac:dyDescent="0.25">
      <c r="B953" s="82"/>
      <c r="R953"/>
      <c r="S953"/>
      <c r="T953"/>
      <c r="U953" s="84"/>
      <c r="W953" s="84"/>
      <c r="X953" s="84"/>
      <c r="Z953"/>
      <c r="AB953" s="84"/>
      <c r="AD953" s="83"/>
      <c r="AE953" s="83"/>
    </row>
    <row r="954" spans="2:31" x14ac:dyDescent="0.25">
      <c r="B954" s="82"/>
      <c r="R954"/>
      <c r="S954"/>
      <c r="T954"/>
      <c r="U954" s="84"/>
      <c r="W954" s="84"/>
      <c r="X954" s="84"/>
      <c r="Z954"/>
      <c r="AB954" s="84"/>
      <c r="AD954" s="83"/>
      <c r="AE954" s="83"/>
    </row>
    <row r="955" spans="2:31" x14ac:dyDescent="0.25">
      <c r="B955" s="82"/>
      <c r="R955"/>
      <c r="S955"/>
      <c r="T955"/>
      <c r="U955" s="84"/>
      <c r="W955" s="84"/>
      <c r="X955" s="84"/>
      <c r="Z955"/>
      <c r="AB955" s="84"/>
      <c r="AD955" s="83"/>
      <c r="AE955" s="83"/>
    </row>
    <row r="956" spans="2:31" x14ac:dyDescent="0.25">
      <c r="B956" s="82"/>
      <c r="R956"/>
      <c r="S956"/>
      <c r="T956"/>
      <c r="U956" s="84"/>
      <c r="W956" s="84"/>
      <c r="X956" s="84"/>
      <c r="Z956"/>
      <c r="AB956" s="84"/>
      <c r="AD956" s="83"/>
      <c r="AE956" s="83"/>
    </row>
    <row r="957" spans="2:31" x14ac:dyDescent="0.25">
      <c r="B957" s="82"/>
      <c r="R957"/>
      <c r="S957"/>
      <c r="T957"/>
      <c r="U957" s="84"/>
      <c r="W957" s="84"/>
      <c r="X957" s="84"/>
      <c r="Z957"/>
      <c r="AB957" s="84"/>
      <c r="AD957" s="83"/>
      <c r="AE957" s="83"/>
    </row>
    <row r="958" spans="2:31" x14ac:dyDescent="0.25">
      <c r="B958" s="82"/>
      <c r="R958"/>
      <c r="S958"/>
      <c r="T958"/>
      <c r="U958" s="84"/>
      <c r="W958" s="84"/>
      <c r="X958" s="84"/>
      <c r="Z958"/>
      <c r="AB958" s="84"/>
      <c r="AD958" s="83"/>
      <c r="AE958" s="83"/>
    </row>
    <row r="959" spans="2:31" x14ac:dyDescent="0.25">
      <c r="B959" s="82"/>
      <c r="R959"/>
      <c r="S959"/>
      <c r="T959"/>
      <c r="U959" s="84"/>
      <c r="W959" s="84"/>
      <c r="X959" s="84"/>
      <c r="Z959"/>
      <c r="AB959" s="84"/>
      <c r="AD959" s="83"/>
      <c r="AE959" s="83"/>
    </row>
    <row r="960" spans="2:31" x14ac:dyDescent="0.25">
      <c r="B960" s="82"/>
      <c r="R960"/>
      <c r="S960"/>
      <c r="T960"/>
      <c r="U960" s="84"/>
      <c r="W960" s="84"/>
      <c r="X960" s="84"/>
      <c r="Z960"/>
      <c r="AB960" s="84"/>
      <c r="AD960" s="83"/>
      <c r="AE960" s="83"/>
    </row>
    <row r="961" spans="2:31" x14ac:dyDescent="0.25">
      <c r="B961" s="82"/>
      <c r="R961"/>
      <c r="S961"/>
      <c r="T961"/>
      <c r="U961" s="84"/>
      <c r="W961" s="84"/>
      <c r="X961" s="84"/>
      <c r="Z961"/>
      <c r="AB961" s="84"/>
      <c r="AD961" s="83"/>
      <c r="AE961" s="83"/>
    </row>
    <row r="962" spans="2:31" x14ac:dyDescent="0.25">
      <c r="B962" s="82"/>
      <c r="R962"/>
      <c r="S962"/>
      <c r="T962"/>
      <c r="U962" s="84"/>
      <c r="W962" s="84"/>
      <c r="X962" s="84"/>
      <c r="Z962"/>
      <c r="AB962" s="84"/>
      <c r="AD962" s="83"/>
      <c r="AE962" s="83"/>
    </row>
    <row r="963" spans="2:31" x14ac:dyDescent="0.25">
      <c r="B963" s="82"/>
      <c r="R963"/>
      <c r="S963"/>
      <c r="T963"/>
      <c r="U963" s="84"/>
      <c r="W963" s="84"/>
      <c r="X963" s="84"/>
      <c r="Z963"/>
      <c r="AB963" s="84"/>
      <c r="AD963" s="83"/>
      <c r="AE963" s="83"/>
    </row>
    <row r="964" spans="2:31" x14ac:dyDescent="0.25">
      <c r="B964" s="82"/>
      <c r="R964"/>
      <c r="S964"/>
      <c r="T964"/>
      <c r="U964" s="84"/>
      <c r="W964" s="84"/>
      <c r="X964" s="84"/>
      <c r="Z964"/>
      <c r="AB964" s="84"/>
      <c r="AD964" s="83"/>
      <c r="AE964" s="83"/>
    </row>
    <row r="965" spans="2:31" x14ac:dyDescent="0.25">
      <c r="B965" s="82"/>
      <c r="R965"/>
      <c r="S965"/>
      <c r="T965"/>
      <c r="U965" s="84"/>
      <c r="W965" s="84"/>
      <c r="X965" s="84"/>
      <c r="Z965"/>
      <c r="AB965" s="84"/>
      <c r="AD965" s="83"/>
      <c r="AE965" s="83"/>
    </row>
    <row r="966" spans="2:31" x14ac:dyDescent="0.25">
      <c r="B966" s="82"/>
      <c r="R966"/>
      <c r="S966"/>
      <c r="T966"/>
      <c r="U966" s="84"/>
      <c r="W966" s="84"/>
      <c r="X966" s="84"/>
      <c r="Z966"/>
      <c r="AB966" s="84"/>
      <c r="AD966" s="83"/>
      <c r="AE966" s="83"/>
    </row>
    <row r="967" spans="2:31" x14ac:dyDescent="0.25">
      <c r="B967" s="82"/>
      <c r="R967"/>
      <c r="S967"/>
      <c r="T967"/>
      <c r="U967" s="84"/>
      <c r="W967" s="84"/>
      <c r="X967" s="84"/>
      <c r="Z967"/>
      <c r="AB967" s="84"/>
      <c r="AD967" s="83"/>
      <c r="AE967" s="83"/>
    </row>
    <row r="968" spans="2:31" x14ac:dyDescent="0.25">
      <c r="B968" s="82"/>
      <c r="R968"/>
      <c r="S968"/>
      <c r="T968"/>
      <c r="U968" s="84"/>
      <c r="W968" s="84"/>
      <c r="X968" s="84"/>
      <c r="Z968"/>
      <c r="AB968" s="84"/>
      <c r="AD968" s="83"/>
      <c r="AE968" s="83"/>
    </row>
    <row r="969" spans="2:31" x14ac:dyDescent="0.25">
      <c r="B969" s="82"/>
      <c r="R969"/>
      <c r="S969"/>
      <c r="T969"/>
      <c r="U969" s="84"/>
      <c r="W969" s="84"/>
      <c r="X969" s="84"/>
      <c r="Z969"/>
      <c r="AB969" s="84"/>
      <c r="AD969" s="83"/>
      <c r="AE969" s="83"/>
    </row>
    <row r="970" spans="2:31" x14ac:dyDescent="0.25">
      <c r="B970" s="82"/>
      <c r="R970"/>
      <c r="S970"/>
      <c r="T970"/>
      <c r="U970" s="84"/>
      <c r="W970" s="84"/>
      <c r="X970" s="84"/>
      <c r="Z970"/>
      <c r="AB970" s="84"/>
      <c r="AD970" s="83"/>
      <c r="AE970" s="83"/>
    </row>
    <row r="971" spans="2:31" x14ac:dyDescent="0.25">
      <c r="B971" s="82"/>
      <c r="R971"/>
      <c r="S971"/>
      <c r="T971"/>
      <c r="U971" s="84"/>
      <c r="W971" s="84"/>
      <c r="X971" s="84"/>
      <c r="Z971"/>
      <c r="AB971" s="84"/>
      <c r="AD971" s="83"/>
      <c r="AE971" s="83"/>
    </row>
    <row r="972" spans="2:31" x14ac:dyDescent="0.25">
      <c r="B972" s="82"/>
      <c r="R972"/>
      <c r="S972"/>
      <c r="T972"/>
      <c r="U972" s="84"/>
      <c r="W972" s="84"/>
      <c r="X972" s="84"/>
      <c r="Z972"/>
      <c r="AB972" s="84"/>
      <c r="AD972" s="83"/>
      <c r="AE972" s="83"/>
    </row>
    <row r="973" spans="2:31" x14ac:dyDescent="0.25">
      <c r="B973" s="82"/>
      <c r="R973"/>
      <c r="S973"/>
      <c r="T973"/>
      <c r="U973" s="84"/>
      <c r="W973" s="84"/>
      <c r="X973" s="84"/>
      <c r="Z973"/>
      <c r="AB973" s="84"/>
      <c r="AD973" s="83"/>
      <c r="AE973" s="83"/>
    </row>
    <row r="974" spans="2:31" x14ac:dyDescent="0.25">
      <c r="B974" s="82"/>
      <c r="R974"/>
      <c r="S974"/>
      <c r="T974"/>
      <c r="U974" s="84"/>
      <c r="W974" s="84"/>
      <c r="X974" s="84"/>
      <c r="Z974"/>
      <c r="AB974" s="84"/>
      <c r="AD974" s="83"/>
      <c r="AE974" s="83"/>
    </row>
    <row r="975" spans="2:31" x14ac:dyDescent="0.25">
      <c r="B975" s="82"/>
      <c r="R975"/>
      <c r="S975"/>
      <c r="T975"/>
      <c r="U975" s="84"/>
      <c r="W975" s="84"/>
      <c r="X975" s="84"/>
      <c r="Z975"/>
      <c r="AB975" s="84"/>
      <c r="AD975" s="83"/>
      <c r="AE975" s="83"/>
    </row>
    <row r="976" spans="2:31" x14ac:dyDescent="0.25">
      <c r="B976" s="82"/>
      <c r="R976"/>
      <c r="S976"/>
      <c r="T976"/>
      <c r="U976" s="84"/>
      <c r="W976" s="84"/>
      <c r="X976" s="84"/>
      <c r="Z976"/>
      <c r="AB976" s="84"/>
      <c r="AD976" s="83"/>
      <c r="AE976" s="83"/>
    </row>
    <row r="977" spans="2:31" x14ac:dyDescent="0.25">
      <c r="B977" s="82"/>
      <c r="R977"/>
      <c r="S977"/>
      <c r="T977"/>
      <c r="U977" s="84"/>
      <c r="W977" s="84"/>
      <c r="X977" s="84"/>
      <c r="Z977"/>
      <c r="AB977" s="84"/>
      <c r="AD977" s="83"/>
      <c r="AE977" s="83"/>
    </row>
    <row r="978" spans="2:31" x14ac:dyDescent="0.25">
      <c r="B978" s="82"/>
      <c r="R978"/>
      <c r="S978"/>
      <c r="T978"/>
      <c r="U978" s="84"/>
      <c r="W978" s="84"/>
      <c r="X978" s="84"/>
      <c r="Z978"/>
      <c r="AB978" s="84"/>
      <c r="AD978" s="83"/>
      <c r="AE978" s="83"/>
    </row>
    <row r="979" spans="2:31" x14ac:dyDescent="0.25">
      <c r="B979" s="82"/>
      <c r="R979"/>
      <c r="S979"/>
      <c r="T979"/>
      <c r="U979" s="84"/>
      <c r="W979" s="84"/>
      <c r="X979" s="84"/>
      <c r="Z979"/>
      <c r="AB979" s="84"/>
      <c r="AD979" s="83"/>
      <c r="AE979" s="83"/>
    </row>
    <row r="980" spans="2:31" x14ac:dyDescent="0.25">
      <c r="B980" s="82"/>
      <c r="R980"/>
      <c r="S980"/>
      <c r="T980"/>
      <c r="U980" s="84"/>
      <c r="W980" s="84"/>
      <c r="X980" s="84"/>
      <c r="Z980"/>
      <c r="AB980" s="84"/>
      <c r="AD980" s="83"/>
      <c r="AE980" s="83"/>
    </row>
    <row r="981" spans="2:31" x14ac:dyDescent="0.25">
      <c r="B981" s="82"/>
      <c r="R981"/>
      <c r="S981"/>
      <c r="T981"/>
      <c r="U981" s="84"/>
      <c r="W981" s="84"/>
      <c r="X981" s="84"/>
      <c r="Z981"/>
      <c r="AB981" s="84"/>
      <c r="AD981" s="83"/>
      <c r="AE981" s="83"/>
    </row>
    <row r="982" spans="2:31" x14ac:dyDescent="0.25">
      <c r="B982" s="82"/>
      <c r="R982"/>
      <c r="S982"/>
      <c r="T982"/>
      <c r="U982" s="84"/>
      <c r="W982" s="84"/>
      <c r="X982" s="84"/>
      <c r="Z982"/>
      <c r="AB982" s="84"/>
      <c r="AD982" s="83"/>
      <c r="AE982" s="83"/>
    </row>
    <row r="983" spans="2:31" x14ac:dyDescent="0.25">
      <c r="B983" s="82"/>
      <c r="R983"/>
      <c r="S983"/>
      <c r="T983"/>
      <c r="U983" s="84"/>
      <c r="W983" s="84"/>
      <c r="X983" s="84"/>
      <c r="Z983"/>
      <c r="AB983" s="84"/>
      <c r="AD983" s="83"/>
      <c r="AE983" s="83"/>
    </row>
    <row r="984" spans="2:31" x14ac:dyDescent="0.25">
      <c r="B984" s="82"/>
      <c r="R984"/>
      <c r="S984"/>
      <c r="T984"/>
      <c r="U984" s="84"/>
      <c r="W984" s="84"/>
      <c r="X984" s="84"/>
      <c r="Z984"/>
      <c r="AB984" s="84"/>
      <c r="AD984" s="83"/>
      <c r="AE984" s="83"/>
    </row>
    <row r="985" spans="2:31" x14ac:dyDescent="0.25">
      <c r="B985" s="82"/>
      <c r="R985"/>
      <c r="S985"/>
      <c r="T985"/>
      <c r="U985" s="84"/>
      <c r="W985" s="84"/>
      <c r="X985" s="84"/>
      <c r="Z985"/>
      <c r="AB985" s="84"/>
      <c r="AD985" s="83"/>
      <c r="AE985" s="83"/>
    </row>
    <row r="986" spans="2:31" x14ac:dyDescent="0.25">
      <c r="B986" s="82"/>
      <c r="R986"/>
      <c r="S986"/>
      <c r="T986"/>
      <c r="U986" s="84"/>
      <c r="W986" s="84"/>
      <c r="X986" s="84"/>
      <c r="Z986"/>
      <c r="AB986" s="84"/>
      <c r="AD986" s="83"/>
      <c r="AE986" s="83"/>
    </row>
    <row r="987" spans="2:31" x14ac:dyDescent="0.25">
      <c r="B987" s="82"/>
      <c r="R987"/>
      <c r="S987"/>
      <c r="T987"/>
      <c r="U987" s="84"/>
      <c r="W987" s="84"/>
      <c r="X987" s="84"/>
      <c r="Z987"/>
      <c r="AB987" s="84"/>
      <c r="AD987" s="83"/>
      <c r="AE987" s="83"/>
    </row>
    <row r="988" spans="2:31" x14ac:dyDescent="0.25">
      <c r="B988" s="82"/>
      <c r="R988"/>
      <c r="S988"/>
      <c r="T988"/>
      <c r="U988" s="84"/>
      <c r="W988" s="84"/>
      <c r="X988" s="84"/>
      <c r="Z988"/>
      <c r="AB988" s="84"/>
      <c r="AD988" s="83"/>
      <c r="AE988" s="83"/>
    </row>
    <row r="989" spans="2:31" x14ac:dyDescent="0.25">
      <c r="B989" s="82"/>
      <c r="R989"/>
      <c r="S989"/>
      <c r="T989"/>
      <c r="U989" s="84"/>
      <c r="W989" s="84"/>
      <c r="X989" s="84"/>
      <c r="Z989"/>
      <c r="AB989" s="84"/>
      <c r="AD989" s="83"/>
      <c r="AE989" s="83"/>
    </row>
    <row r="990" spans="2:31" x14ac:dyDescent="0.25">
      <c r="B990" s="82"/>
      <c r="R990"/>
      <c r="S990"/>
      <c r="T990"/>
      <c r="U990" s="84"/>
      <c r="W990" s="84"/>
      <c r="X990" s="84"/>
      <c r="Z990"/>
      <c r="AB990" s="84"/>
      <c r="AD990" s="83"/>
      <c r="AE990" s="83"/>
    </row>
    <row r="991" spans="2:31" x14ac:dyDescent="0.25">
      <c r="B991" s="82"/>
      <c r="R991"/>
      <c r="S991"/>
      <c r="T991"/>
      <c r="U991" s="84"/>
      <c r="W991" s="84"/>
      <c r="X991" s="84"/>
      <c r="Z991"/>
      <c r="AB991" s="84"/>
      <c r="AD991" s="83"/>
      <c r="AE991" s="83"/>
    </row>
    <row r="992" spans="2:31" x14ac:dyDescent="0.25">
      <c r="B992" s="82"/>
      <c r="R992"/>
      <c r="S992"/>
      <c r="T992"/>
      <c r="U992" s="84"/>
      <c r="W992" s="84"/>
      <c r="X992" s="84"/>
      <c r="Z992"/>
      <c r="AB992" s="84"/>
      <c r="AD992" s="83"/>
      <c r="AE992" s="83"/>
    </row>
    <row r="993" spans="2:31" x14ac:dyDescent="0.25">
      <c r="B993" s="82"/>
      <c r="R993"/>
      <c r="S993"/>
      <c r="T993"/>
      <c r="U993" s="84"/>
      <c r="W993" s="84"/>
      <c r="X993" s="84"/>
      <c r="Z993"/>
      <c r="AB993" s="84"/>
      <c r="AD993" s="83"/>
      <c r="AE993" s="83"/>
    </row>
    <row r="994" spans="2:31" x14ac:dyDescent="0.25">
      <c r="B994" s="82"/>
      <c r="R994"/>
      <c r="S994"/>
      <c r="T994"/>
      <c r="U994" s="84"/>
      <c r="W994" s="84"/>
      <c r="X994" s="84"/>
      <c r="Z994"/>
      <c r="AB994" s="84"/>
      <c r="AD994" s="83"/>
      <c r="AE994" s="83"/>
    </row>
    <row r="995" spans="2:31" x14ac:dyDescent="0.25">
      <c r="B995" s="82"/>
      <c r="R995"/>
      <c r="S995"/>
      <c r="T995"/>
      <c r="U995" s="84"/>
      <c r="W995" s="84"/>
      <c r="X995" s="84"/>
      <c r="Z995"/>
      <c r="AB995" s="84"/>
      <c r="AD995" s="83"/>
      <c r="AE995" s="83"/>
    </row>
    <row r="996" spans="2:31" x14ac:dyDescent="0.25">
      <c r="B996" s="82"/>
      <c r="R996"/>
      <c r="S996"/>
      <c r="T996"/>
      <c r="U996" s="84"/>
      <c r="W996" s="84"/>
      <c r="X996" s="84"/>
      <c r="Z996"/>
      <c r="AB996" s="84"/>
      <c r="AD996" s="83"/>
      <c r="AE996" s="83"/>
    </row>
    <row r="997" spans="2:31" x14ac:dyDescent="0.25">
      <c r="B997" s="82"/>
      <c r="R997"/>
      <c r="S997"/>
      <c r="T997"/>
      <c r="U997" s="84"/>
      <c r="W997" s="84"/>
      <c r="X997" s="84"/>
      <c r="Z997"/>
      <c r="AB997" s="84"/>
      <c r="AD997" s="83"/>
      <c r="AE997" s="83"/>
    </row>
    <row r="998" spans="2:31" x14ac:dyDescent="0.25">
      <c r="B998" s="82"/>
      <c r="R998"/>
      <c r="S998"/>
      <c r="T998"/>
      <c r="U998" s="84"/>
      <c r="W998" s="84"/>
      <c r="X998" s="84"/>
      <c r="Z998"/>
      <c r="AB998" s="84"/>
      <c r="AD998" s="83"/>
      <c r="AE998" s="83"/>
    </row>
    <row r="999" spans="2:31" x14ac:dyDescent="0.25">
      <c r="B999" s="82"/>
      <c r="R999"/>
      <c r="S999"/>
      <c r="T999"/>
      <c r="U999" s="84"/>
      <c r="W999" s="84"/>
      <c r="X999" s="84"/>
      <c r="Z999"/>
      <c r="AB999" s="84"/>
      <c r="AD999" s="83"/>
      <c r="AE999" s="83"/>
    </row>
    <row r="1000" spans="2:31" x14ac:dyDescent="0.25">
      <c r="B1000" s="82"/>
      <c r="R1000"/>
      <c r="S1000"/>
      <c r="T1000"/>
      <c r="U1000" s="84"/>
      <c r="W1000" s="84"/>
      <c r="X1000" s="84"/>
      <c r="Z1000"/>
      <c r="AB1000" s="84"/>
      <c r="AD1000" s="83"/>
      <c r="AE1000" s="83"/>
    </row>
    <row r="1001" spans="2:31" x14ac:dyDescent="0.25">
      <c r="B1001" s="82"/>
      <c r="R1001"/>
      <c r="S1001"/>
      <c r="T1001"/>
      <c r="U1001" s="84"/>
      <c r="W1001" s="84"/>
      <c r="X1001" s="84"/>
      <c r="Z1001"/>
      <c r="AB1001" s="84"/>
      <c r="AD1001" s="83"/>
      <c r="AE1001" s="83"/>
    </row>
    <row r="1002" spans="2:31" x14ac:dyDescent="0.25">
      <c r="B1002" s="82"/>
      <c r="R1002"/>
      <c r="S1002"/>
      <c r="T1002"/>
      <c r="U1002" s="84"/>
      <c r="W1002" s="84"/>
      <c r="X1002" s="84"/>
      <c r="Z1002"/>
      <c r="AB1002" s="84"/>
      <c r="AD1002" s="83"/>
      <c r="AE1002" s="83"/>
    </row>
    <row r="1003" spans="2:31" x14ac:dyDescent="0.25">
      <c r="B1003" s="82"/>
      <c r="R1003"/>
      <c r="S1003"/>
      <c r="T1003"/>
      <c r="U1003" s="84"/>
      <c r="W1003" s="84"/>
      <c r="X1003" s="84"/>
      <c r="Z1003"/>
      <c r="AB1003" s="84"/>
      <c r="AD1003" s="83"/>
      <c r="AE1003" s="83"/>
    </row>
    <row r="1004" spans="2:31" x14ac:dyDescent="0.25">
      <c r="B1004" s="82"/>
      <c r="R1004"/>
      <c r="S1004"/>
      <c r="T1004"/>
      <c r="U1004" s="84"/>
      <c r="W1004" s="84"/>
      <c r="X1004" s="84"/>
      <c r="Z1004"/>
      <c r="AB1004" s="84"/>
      <c r="AD1004" s="83"/>
      <c r="AE1004" s="83"/>
    </row>
    <row r="1005" spans="2:31" x14ac:dyDescent="0.25">
      <c r="B1005" s="82"/>
      <c r="R1005"/>
      <c r="S1005"/>
      <c r="T1005"/>
      <c r="U1005" s="84"/>
      <c r="W1005" s="84"/>
      <c r="X1005" s="84"/>
      <c r="Z1005"/>
      <c r="AB1005" s="84"/>
      <c r="AD1005" s="83"/>
      <c r="AE1005" s="83"/>
    </row>
    <row r="1006" spans="2:31" x14ac:dyDescent="0.25">
      <c r="B1006" s="82"/>
      <c r="R1006"/>
      <c r="S1006"/>
      <c r="T1006"/>
      <c r="U1006" s="84"/>
      <c r="W1006" s="84"/>
      <c r="X1006" s="84"/>
      <c r="Z1006"/>
      <c r="AB1006" s="84"/>
      <c r="AD1006" s="83"/>
      <c r="AE1006" s="83"/>
    </row>
    <row r="1007" spans="2:31" x14ac:dyDescent="0.25">
      <c r="B1007" s="82"/>
      <c r="R1007"/>
      <c r="S1007"/>
      <c r="T1007"/>
      <c r="U1007" s="84"/>
      <c r="W1007" s="84"/>
      <c r="X1007" s="84"/>
      <c r="Z1007"/>
      <c r="AB1007" s="84"/>
      <c r="AD1007" s="83"/>
      <c r="AE1007" s="83"/>
    </row>
    <row r="1008" spans="2:31" x14ac:dyDescent="0.25">
      <c r="B1008" s="82"/>
      <c r="R1008"/>
      <c r="S1008"/>
      <c r="T1008"/>
      <c r="U1008" s="84"/>
      <c r="W1008" s="84"/>
      <c r="X1008" s="84"/>
      <c r="Z1008"/>
      <c r="AB1008" s="84"/>
      <c r="AD1008" s="83"/>
      <c r="AE1008" s="83"/>
    </row>
    <row r="1009" spans="2:31" x14ac:dyDescent="0.25">
      <c r="B1009" s="82"/>
      <c r="R1009"/>
      <c r="S1009"/>
      <c r="T1009"/>
      <c r="U1009" s="84"/>
      <c r="W1009" s="84"/>
      <c r="X1009" s="84"/>
      <c r="Z1009"/>
      <c r="AB1009" s="84"/>
      <c r="AD1009" s="83"/>
      <c r="AE1009" s="83"/>
    </row>
    <row r="1010" spans="2:31" x14ac:dyDescent="0.25">
      <c r="B1010" s="82"/>
      <c r="R1010"/>
      <c r="S1010"/>
      <c r="T1010"/>
      <c r="U1010" s="84"/>
      <c r="W1010" s="84"/>
      <c r="X1010" s="84"/>
      <c r="Z1010"/>
      <c r="AB1010" s="84"/>
      <c r="AD1010" s="83"/>
      <c r="AE1010" s="83"/>
    </row>
    <row r="1011" spans="2:31" x14ac:dyDescent="0.25">
      <c r="B1011" s="82"/>
      <c r="R1011"/>
      <c r="S1011"/>
      <c r="T1011"/>
      <c r="U1011" s="84"/>
      <c r="W1011" s="84"/>
      <c r="X1011" s="84"/>
      <c r="Z1011"/>
      <c r="AB1011" s="84"/>
      <c r="AD1011" s="83"/>
      <c r="AE1011" s="83"/>
    </row>
    <row r="1012" spans="2:31" x14ac:dyDescent="0.25">
      <c r="B1012" s="82"/>
      <c r="R1012"/>
      <c r="S1012"/>
      <c r="T1012"/>
      <c r="U1012" s="84"/>
      <c r="W1012" s="84"/>
      <c r="X1012" s="84"/>
      <c r="Z1012"/>
      <c r="AB1012" s="84"/>
      <c r="AD1012" s="83"/>
      <c r="AE1012" s="83"/>
    </row>
    <row r="1013" spans="2:31" x14ac:dyDescent="0.25">
      <c r="B1013" s="82"/>
      <c r="R1013"/>
      <c r="S1013"/>
      <c r="T1013"/>
      <c r="U1013" s="84"/>
      <c r="W1013" s="84"/>
      <c r="X1013" s="84"/>
      <c r="Z1013"/>
      <c r="AB1013" s="84"/>
      <c r="AD1013" s="83"/>
      <c r="AE1013" s="83"/>
    </row>
    <row r="1014" spans="2:31" x14ac:dyDescent="0.25">
      <c r="B1014" s="82"/>
      <c r="R1014"/>
      <c r="S1014"/>
      <c r="T1014"/>
      <c r="U1014" s="84"/>
      <c r="W1014" s="84"/>
      <c r="X1014" s="84"/>
      <c r="Z1014"/>
      <c r="AB1014" s="84"/>
      <c r="AD1014" s="83"/>
      <c r="AE1014" s="83"/>
    </row>
    <row r="1015" spans="2:31" x14ac:dyDescent="0.25">
      <c r="B1015" s="82"/>
      <c r="R1015"/>
      <c r="S1015"/>
      <c r="T1015"/>
      <c r="U1015" s="84"/>
      <c r="W1015" s="84"/>
      <c r="X1015" s="84"/>
      <c r="Z1015"/>
      <c r="AB1015" s="84"/>
      <c r="AD1015" s="83"/>
      <c r="AE1015" s="83"/>
    </row>
    <row r="1016" spans="2:31" x14ac:dyDescent="0.25">
      <c r="B1016" s="82"/>
      <c r="R1016"/>
      <c r="S1016"/>
      <c r="T1016"/>
      <c r="U1016" s="84"/>
      <c r="W1016" s="84"/>
      <c r="X1016" s="84"/>
      <c r="Z1016"/>
      <c r="AB1016" s="84"/>
      <c r="AD1016" s="83"/>
      <c r="AE1016" s="83"/>
    </row>
    <row r="1017" spans="2:31" x14ac:dyDescent="0.25">
      <c r="B1017" s="82"/>
      <c r="R1017"/>
      <c r="S1017"/>
      <c r="T1017"/>
      <c r="U1017" s="84"/>
      <c r="W1017" s="84"/>
      <c r="X1017" s="84"/>
      <c r="Z1017"/>
      <c r="AB1017" s="84"/>
      <c r="AD1017" s="83"/>
      <c r="AE1017" s="83"/>
    </row>
    <row r="1018" spans="2:31" x14ac:dyDescent="0.25">
      <c r="B1018" s="82"/>
      <c r="R1018"/>
      <c r="S1018"/>
      <c r="T1018"/>
      <c r="U1018" s="84"/>
      <c r="W1018" s="84"/>
      <c r="X1018" s="84"/>
      <c r="Z1018"/>
      <c r="AB1018" s="84"/>
      <c r="AD1018" s="83"/>
      <c r="AE1018" s="83"/>
    </row>
    <row r="1019" spans="2:31" x14ac:dyDescent="0.25">
      <c r="B1019" s="82"/>
      <c r="R1019"/>
      <c r="S1019"/>
      <c r="T1019"/>
      <c r="U1019" s="84"/>
      <c r="W1019" s="84"/>
      <c r="X1019" s="84"/>
      <c r="Z1019"/>
      <c r="AB1019" s="84"/>
      <c r="AD1019" s="83"/>
      <c r="AE1019" s="83"/>
    </row>
    <row r="1020" spans="2:31" x14ac:dyDescent="0.25">
      <c r="B1020" s="82"/>
      <c r="R1020"/>
      <c r="S1020"/>
      <c r="T1020"/>
      <c r="U1020" s="84"/>
      <c r="W1020" s="84"/>
      <c r="X1020" s="84"/>
      <c r="Z1020"/>
      <c r="AB1020" s="84"/>
      <c r="AD1020" s="83"/>
      <c r="AE1020" s="83"/>
    </row>
    <row r="1021" spans="2:31" x14ac:dyDescent="0.25">
      <c r="B1021" s="82"/>
      <c r="R1021"/>
      <c r="S1021"/>
      <c r="T1021"/>
      <c r="U1021" s="84"/>
      <c r="W1021" s="84"/>
      <c r="X1021" s="84"/>
      <c r="Z1021"/>
      <c r="AB1021" s="84"/>
      <c r="AD1021" s="83"/>
      <c r="AE1021" s="83"/>
    </row>
    <row r="1022" spans="2:31" x14ac:dyDescent="0.25">
      <c r="B1022" s="82"/>
      <c r="R1022"/>
      <c r="S1022"/>
      <c r="T1022"/>
      <c r="U1022" s="84"/>
      <c r="W1022" s="84"/>
      <c r="X1022" s="84"/>
      <c r="Z1022"/>
      <c r="AB1022" s="84"/>
      <c r="AD1022" s="83"/>
      <c r="AE1022" s="83"/>
    </row>
    <row r="1023" spans="2:31" x14ac:dyDescent="0.25">
      <c r="B1023" s="82"/>
      <c r="R1023"/>
      <c r="S1023"/>
      <c r="T1023"/>
      <c r="U1023" s="84"/>
      <c r="W1023" s="84"/>
      <c r="X1023" s="84"/>
      <c r="Z1023"/>
      <c r="AB1023" s="84"/>
      <c r="AD1023" s="83"/>
      <c r="AE1023" s="83"/>
    </row>
    <row r="1024" spans="2:31" x14ac:dyDescent="0.25">
      <c r="B1024" s="82"/>
      <c r="R1024"/>
      <c r="S1024"/>
      <c r="T1024"/>
      <c r="U1024" s="84"/>
      <c r="W1024" s="84"/>
      <c r="X1024" s="84"/>
      <c r="Z1024"/>
      <c r="AB1024" s="84"/>
      <c r="AD1024" s="83"/>
      <c r="AE1024" s="83"/>
    </row>
    <row r="1025" spans="2:31" x14ac:dyDescent="0.25">
      <c r="B1025" s="82"/>
      <c r="R1025"/>
      <c r="S1025"/>
      <c r="T1025"/>
      <c r="U1025" s="84"/>
      <c r="W1025" s="84"/>
      <c r="X1025" s="84"/>
      <c r="Z1025"/>
      <c r="AB1025" s="84"/>
      <c r="AD1025" s="83"/>
      <c r="AE1025" s="83"/>
    </row>
    <row r="1026" spans="2:31" x14ac:dyDescent="0.25">
      <c r="B1026" s="82"/>
      <c r="R1026"/>
      <c r="S1026"/>
      <c r="T1026"/>
      <c r="U1026" s="84"/>
      <c r="W1026" s="84"/>
      <c r="X1026" s="84"/>
      <c r="Z1026"/>
      <c r="AB1026" s="84"/>
      <c r="AD1026" s="83"/>
      <c r="AE1026" s="83"/>
    </row>
    <row r="1027" spans="2:31" x14ac:dyDescent="0.25">
      <c r="B1027" s="82"/>
      <c r="R1027"/>
      <c r="S1027"/>
      <c r="T1027"/>
      <c r="U1027" s="84"/>
      <c r="W1027" s="84"/>
      <c r="X1027" s="84"/>
      <c r="Z1027"/>
      <c r="AB1027" s="84"/>
      <c r="AD1027" s="83"/>
      <c r="AE1027" s="83"/>
    </row>
    <row r="1028" spans="2:31" x14ac:dyDescent="0.25">
      <c r="B1028" s="82"/>
      <c r="R1028"/>
      <c r="S1028"/>
      <c r="T1028"/>
      <c r="U1028" s="84"/>
      <c r="W1028" s="84"/>
      <c r="X1028" s="84"/>
      <c r="Z1028"/>
      <c r="AB1028" s="84"/>
      <c r="AD1028" s="83"/>
      <c r="AE1028" s="83"/>
    </row>
    <row r="1029" spans="2:31" x14ac:dyDescent="0.25">
      <c r="B1029" s="82"/>
      <c r="R1029"/>
      <c r="S1029"/>
      <c r="T1029"/>
      <c r="U1029" s="84"/>
      <c r="W1029" s="84"/>
      <c r="X1029" s="84"/>
      <c r="Z1029"/>
      <c r="AB1029" s="84"/>
      <c r="AD1029" s="83"/>
      <c r="AE1029" s="83"/>
    </row>
    <row r="1030" spans="2:31" x14ac:dyDescent="0.25">
      <c r="B1030" s="82"/>
      <c r="R1030"/>
      <c r="S1030"/>
      <c r="T1030"/>
      <c r="U1030" s="84"/>
      <c r="W1030" s="84"/>
      <c r="X1030" s="84"/>
      <c r="Z1030"/>
      <c r="AB1030" s="84"/>
      <c r="AD1030" s="83"/>
      <c r="AE1030" s="83"/>
    </row>
    <row r="1031" spans="2:31" x14ac:dyDescent="0.25">
      <c r="B1031" s="82"/>
      <c r="R1031"/>
      <c r="S1031"/>
      <c r="T1031"/>
      <c r="U1031" s="84"/>
      <c r="W1031" s="84"/>
      <c r="X1031" s="84"/>
      <c r="Z1031"/>
      <c r="AB1031" s="84"/>
      <c r="AD1031" s="83"/>
      <c r="AE1031" s="83"/>
    </row>
    <row r="1032" spans="2:31" x14ac:dyDescent="0.25">
      <c r="B1032" s="82"/>
      <c r="R1032"/>
      <c r="S1032"/>
      <c r="T1032"/>
      <c r="U1032" s="84"/>
      <c r="W1032" s="84"/>
      <c r="X1032" s="84"/>
      <c r="Z1032"/>
      <c r="AB1032" s="84"/>
      <c r="AD1032" s="83"/>
      <c r="AE1032" s="83"/>
    </row>
    <row r="1033" spans="2:31" x14ac:dyDescent="0.25">
      <c r="B1033" s="82"/>
      <c r="R1033"/>
      <c r="S1033"/>
      <c r="T1033"/>
      <c r="U1033" s="84"/>
      <c r="W1033" s="84"/>
      <c r="X1033" s="84"/>
      <c r="Z1033"/>
      <c r="AB1033" s="84"/>
      <c r="AD1033" s="83"/>
      <c r="AE1033" s="83"/>
    </row>
    <row r="1034" spans="2:31" x14ac:dyDescent="0.25">
      <c r="B1034" s="82"/>
      <c r="R1034"/>
      <c r="S1034"/>
      <c r="T1034"/>
      <c r="U1034" s="84"/>
      <c r="W1034" s="84"/>
      <c r="X1034" s="84"/>
      <c r="Z1034"/>
      <c r="AB1034" s="84"/>
      <c r="AD1034" s="83"/>
      <c r="AE1034" s="83"/>
    </row>
    <row r="1035" spans="2:31" x14ac:dyDescent="0.25">
      <c r="B1035" s="82"/>
      <c r="R1035"/>
      <c r="S1035"/>
      <c r="T1035"/>
      <c r="U1035" s="84"/>
      <c r="W1035" s="84"/>
      <c r="X1035" s="84"/>
      <c r="Z1035"/>
      <c r="AB1035" s="84"/>
      <c r="AD1035" s="83"/>
      <c r="AE1035" s="83"/>
    </row>
    <row r="1036" spans="2:31" x14ac:dyDescent="0.25">
      <c r="B1036" s="82"/>
      <c r="R1036"/>
      <c r="S1036"/>
      <c r="T1036"/>
      <c r="U1036" s="84"/>
      <c r="W1036" s="84"/>
      <c r="X1036" s="84"/>
      <c r="Z1036"/>
      <c r="AB1036" s="84"/>
      <c r="AD1036" s="83"/>
      <c r="AE1036" s="83"/>
    </row>
    <row r="1037" spans="2:31" x14ac:dyDescent="0.25">
      <c r="B1037" s="82"/>
      <c r="R1037"/>
      <c r="S1037"/>
      <c r="T1037"/>
      <c r="U1037" s="84"/>
      <c r="W1037" s="84"/>
      <c r="X1037" s="84"/>
      <c r="Z1037"/>
      <c r="AB1037" s="84"/>
      <c r="AD1037" s="83"/>
      <c r="AE1037" s="83"/>
    </row>
    <row r="1038" spans="2:31" x14ac:dyDescent="0.25">
      <c r="B1038" s="82"/>
      <c r="R1038"/>
      <c r="S1038"/>
      <c r="T1038"/>
      <c r="U1038" s="84"/>
      <c r="W1038" s="84"/>
      <c r="X1038" s="84"/>
      <c r="Z1038"/>
      <c r="AB1038" s="84"/>
      <c r="AD1038" s="83"/>
      <c r="AE1038" s="83"/>
    </row>
    <row r="1039" spans="2:31" x14ac:dyDescent="0.25">
      <c r="B1039" s="82"/>
      <c r="R1039"/>
      <c r="S1039"/>
      <c r="T1039"/>
      <c r="U1039" s="84"/>
      <c r="W1039" s="84"/>
      <c r="X1039" s="84"/>
      <c r="Z1039"/>
      <c r="AB1039" s="84"/>
      <c r="AD1039" s="83"/>
      <c r="AE1039" s="83"/>
    </row>
    <row r="1040" spans="2:31" x14ac:dyDescent="0.25">
      <c r="B1040" s="82"/>
      <c r="R1040"/>
      <c r="S1040"/>
      <c r="T1040"/>
      <c r="U1040" s="84"/>
      <c r="W1040" s="84"/>
      <c r="X1040" s="84"/>
      <c r="Z1040"/>
      <c r="AB1040" s="84"/>
      <c r="AD1040" s="83"/>
      <c r="AE1040" s="83"/>
    </row>
    <row r="1041" spans="2:31" x14ac:dyDescent="0.25">
      <c r="B1041" s="82"/>
      <c r="R1041"/>
      <c r="S1041"/>
      <c r="T1041"/>
      <c r="U1041" s="84"/>
      <c r="W1041" s="84"/>
      <c r="X1041" s="84"/>
      <c r="Z1041"/>
      <c r="AB1041" s="84"/>
      <c r="AD1041" s="83"/>
      <c r="AE1041" s="83"/>
    </row>
    <row r="1042" spans="2:31" x14ac:dyDescent="0.25">
      <c r="B1042" s="82"/>
      <c r="R1042"/>
      <c r="S1042"/>
      <c r="T1042"/>
      <c r="U1042" s="84"/>
      <c r="W1042" s="84"/>
      <c r="X1042" s="84"/>
      <c r="Z1042"/>
      <c r="AB1042" s="84"/>
      <c r="AD1042" s="83"/>
      <c r="AE1042" s="83"/>
    </row>
    <row r="1043" spans="2:31" x14ac:dyDescent="0.25">
      <c r="B1043" s="82"/>
      <c r="R1043"/>
      <c r="S1043"/>
      <c r="T1043"/>
      <c r="U1043" s="84"/>
      <c r="W1043" s="84"/>
      <c r="X1043" s="84"/>
      <c r="Z1043"/>
      <c r="AB1043" s="84"/>
      <c r="AD1043" s="83"/>
      <c r="AE1043" s="83"/>
    </row>
    <row r="1044" spans="2:31" x14ac:dyDescent="0.25">
      <c r="B1044" s="82"/>
      <c r="R1044"/>
      <c r="S1044"/>
      <c r="T1044"/>
      <c r="U1044" s="84"/>
      <c r="W1044" s="84"/>
      <c r="X1044" s="84"/>
      <c r="Z1044"/>
      <c r="AB1044" s="84"/>
      <c r="AD1044" s="83"/>
      <c r="AE1044" s="83"/>
    </row>
    <row r="1045" spans="2:31" x14ac:dyDescent="0.25">
      <c r="B1045" s="82"/>
      <c r="R1045"/>
      <c r="S1045"/>
      <c r="T1045"/>
      <c r="U1045" s="84"/>
      <c r="W1045" s="84"/>
      <c r="X1045" s="84"/>
      <c r="Z1045"/>
      <c r="AB1045" s="84"/>
      <c r="AD1045" s="83"/>
      <c r="AE1045" s="83"/>
    </row>
    <row r="1046" spans="2:31" x14ac:dyDescent="0.25">
      <c r="B1046" s="82"/>
      <c r="R1046"/>
      <c r="S1046"/>
      <c r="T1046"/>
      <c r="U1046" s="84"/>
      <c r="W1046" s="84"/>
      <c r="X1046" s="84"/>
      <c r="Z1046"/>
      <c r="AB1046" s="84"/>
      <c r="AD1046" s="83"/>
      <c r="AE1046" s="83"/>
    </row>
    <row r="1047" spans="2:31" x14ac:dyDescent="0.25">
      <c r="B1047" s="82"/>
      <c r="R1047"/>
      <c r="S1047"/>
      <c r="T1047"/>
      <c r="U1047" s="84"/>
      <c r="W1047" s="84"/>
      <c r="X1047" s="84"/>
      <c r="Z1047"/>
      <c r="AB1047" s="84"/>
      <c r="AD1047" s="83"/>
      <c r="AE1047" s="83"/>
    </row>
    <row r="1048" spans="2:31" x14ac:dyDescent="0.25">
      <c r="B1048" s="82"/>
      <c r="R1048"/>
      <c r="S1048"/>
      <c r="T1048"/>
      <c r="U1048" s="84"/>
      <c r="W1048" s="84"/>
      <c r="X1048" s="84"/>
      <c r="Z1048"/>
      <c r="AB1048" s="84"/>
      <c r="AD1048" s="83"/>
      <c r="AE1048" s="83"/>
    </row>
    <row r="1049" spans="2:31" x14ac:dyDescent="0.25">
      <c r="B1049" s="82"/>
      <c r="R1049"/>
      <c r="S1049"/>
      <c r="T1049"/>
      <c r="U1049" s="84"/>
      <c r="W1049" s="84"/>
      <c r="X1049" s="84"/>
      <c r="Z1049"/>
      <c r="AB1049" s="84"/>
      <c r="AD1049" s="83"/>
      <c r="AE1049" s="83"/>
    </row>
    <row r="1050" spans="2:31" x14ac:dyDescent="0.25">
      <c r="B1050" s="82"/>
      <c r="R1050"/>
      <c r="S1050"/>
      <c r="T1050"/>
      <c r="U1050" s="84"/>
      <c r="W1050" s="84"/>
      <c r="X1050" s="84"/>
      <c r="Z1050"/>
      <c r="AB1050" s="84"/>
      <c r="AD1050" s="83"/>
      <c r="AE1050" s="83"/>
    </row>
    <row r="1051" spans="2:31" x14ac:dyDescent="0.25">
      <c r="B1051" s="82"/>
      <c r="R1051"/>
      <c r="S1051"/>
      <c r="T1051"/>
      <c r="U1051" s="84"/>
      <c r="W1051" s="84"/>
      <c r="X1051" s="84"/>
      <c r="Z1051"/>
      <c r="AB1051" s="84"/>
      <c r="AD1051" s="83"/>
      <c r="AE1051" s="83"/>
    </row>
    <row r="1052" spans="2:31" x14ac:dyDescent="0.25">
      <c r="B1052" s="82"/>
      <c r="R1052"/>
      <c r="S1052"/>
      <c r="T1052"/>
      <c r="U1052" s="84"/>
      <c r="W1052" s="84"/>
      <c r="X1052" s="84"/>
      <c r="Z1052"/>
      <c r="AB1052" s="84"/>
      <c r="AD1052" s="83"/>
      <c r="AE1052" s="83"/>
    </row>
    <row r="1053" spans="2:31" x14ac:dyDescent="0.25">
      <c r="B1053" s="82"/>
      <c r="R1053"/>
      <c r="S1053"/>
      <c r="T1053"/>
      <c r="U1053" s="84"/>
      <c r="W1053" s="84"/>
      <c r="X1053" s="84"/>
      <c r="Z1053"/>
      <c r="AB1053" s="84"/>
      <c r="AD1053" s="83"/>
      <c r="AE1053" s="83"/>
    </row>
    <row r="1054" spans="2:31" x14ac:dyDescent="0.25">
      <c r="B1054" s="82"/>
      <c r="R1054"/>
      <c r="S1054"/>
      <c r="T1054"/>
      <c r="U1054" s="84"/>
      <c r="W1054" s="84"/>
      <c r="X1054" s="84"/>
      <c r="Z1054"/>
      <c r="AB1054" s="84"/>
      <c r="AD1054" s="83"/>
      <c r="AE1054" s="83"/>
    </row>
    <row r="1055" spans="2:31" x14ac:dyDescent="0.25">
      <c r="B1055" s="82"/>
      <c r="R1055"/>
      <c r="S1055"/>
      <c r="T1055"/>
      <c r="U1055" s="84"/>
      <c r="W1055" s="84"/>
      <c r="X1055" s="84"/>
      <c r="Z1055"/>
      <c r="AB1055" s="84"/>
      <c r="AD1055" s="83"/>
      <c r="AE1055" s="83"/>
    </row>
    <row r="1056" spans="2:31" x14ac:dyDescent="0.25">
      <c r="B1056" s="82"/>
      <c r="R1056"/>
      <c r="S1056"/>
      <c r="T1056"/>
      <c r="U1056" s="84"/>
      <c r="W1056" s="84"/>
      <c r="X1056" s="84"/>
      <c r="Z1056"/>
      <c r="AB1056" s="84"/>
      <c r="AD1056" s="83"/>
      <c r="AE1056" s="83"/>
    </row>
    <row r="1057" spans="2:31" x14ac:dyDescent="0.25">
      <c r="B1057" s="82"/>
      <c r="R1057"/>
      <c r="S1057"/>
      <c r="T1057"/>
      <c r="U1057" s="84"/>
      <c r="W1057" s="84"/>
      <c r="X1057" s="84"/>
      <c r="Z1057"/>
      <c r="AB1057" s="84"/>
      <c r="AD1057" s="83"/>
      <c r="AE1057" s="83"/>
    </row>
    <row r="1058" spans="2:31" x14ac:dyDescent="0.25">
      <c r="B1058" s="82"/>
      <c r="R1058"/>
      <c r="S1058"/>
      <c r="T1058"/>
      <c r="U1058" s="84"/>
      <c r="W1058" s="84"/>
      <c r="X1058" s="84"/>
      <c r="Z1058"/>
      <c r="AB1058" s="84"/>
      <c r="AD1058" s="83"/>
      <c r="AE1058" s="83"/>
    </row>
    <row r="1059" spans="2:31" x14ac:dyDescent="0.25">
      <c r="B1059" s="82"/>
      <c r="R1059"/>
      <c r="S1059"/>
      <c r="T1059"/>
      <c r="U1059" s="84"/>
      <c r="W1059" s="84"/>
      <c r="X1059" s="84"/>
      <c r="Z1059"/>
      <c r="AB1059" s="84"/>
      <c r="AD1059" s="83"/>
      <c r="AE1059" s="83"/>
    </row>
    <row r="1060" spans="2:31" x14ac:dyDescent="0.25">
      <c r="B1060" s="82"/>
      <c r="R1060"/>
      <c r="S1060"/>
      <c r="T1060"/>
      <c r="U1060" s="84"/>
      <c r="W1060" s="84"/>
      <c r="X1060" s="84"/>
      <c r="Z1060"/>
      <c r="AB1060" s="84"/>
      <c r="AD1060" s="83"/>
      <c r="AE1060" s="83"/>
    </row>
    <row r="1061" spans="2:31" x14ac:dyDescent="0.25">
      <c r="B1061" s="82"/>
      <c r="R1061"/>
      <c r="S1061"/>
      <c r="T1061"/>
      <c r="U1061" s="84"/>
      <c r="W1061" s="84"/>
      <c r="X1061" s="84"/>
      <c r="Z1061"/>
      <c r="AB1061" s="84"/>
      <c r="AD1061" s="83"/>
      <c r="AE1061" s="83"/>
    </row>
    <row r="1062" spans="2:31" x14ac:dyDescent="0.25">
      <c r="B1062" s="82"/>
      <c r="R1062"/>
      <c r="S1062"/>
      <c r="T1062"/>
      <c r="U1062" s="84"/>
      <c r="W1062" s="84"/>
      <c r="X1062" s="84"/>
      <c r="Z1062"/>
      <c r="AB1062" s="84"/>
      <c r="AD1062" s="83"/>
      <c r="AE1062" s="83"/>
    </row>
    <row r="1063" spans="2:31" x14ac:dyDescent="0.25">
      <c r="B1063" s="82"/>
      <c r="R1063"/>
      <c r="S1063"/>
      <c r="T1063"/>
      <c r="U1063" s="84"/>
      <c r="W1063" s="84"/>
      <c r="X1063" s="84"/>
      <c r="Z1063"/>
      <c r="AB1063" s="84"/>
      <c r="AD1063" s="83"/>
      <c r="AE1063" s="83"/>
    </row>
    <row r="1064" spans="2:31" x14ac:dyDescent="0.25">
      <c r="B1064" s="82"/>
      <c r="R1064"/>
      <c r="S1064"/>
      <c r="T1064"/>
      <c r="U1064" s="84"/>
      <c r="W1064" s="84"/>
      <c r="X1064" s="84"/>
      <c r="Z1064"/>
      <c r="AB1064" s="84"/>
      <c r="AD1064" s="83"/>
      <c r="AE1064" s="83"/>
    </row>
    <row r="1065" spans="2:31" x14ac:dyDescent="0.25">
      <c r="B1065" s="82"/>
      <c r="R1065"/>
      <c r="S1065"/>
      <c r="T1065"/>
      <c r="U1065" s="84"/>
      <c r="W1065" s="84"/>
      <c r="X1065" s="84"/>
      <c r="Z1065"/>
      <c r="AB1065" s="84"/>
      <c r="AD1065" s="83"/>
      <c r="AE1065" s="83"/>
    </row>
    <row r="1066" spans="2:31" x14ac:dyDescent="0.25">
      <c r="B1066" s="82"/>
      <c r="R1066"/>
      <c r="S1066"/>
      <c r="T1066"/>
      <c r="U1066" s="84"/>
      <c r="W1066" s="84"/>
      <c r="X1066" s="84"/>
      <c r="Z1066"/>
      <c r="AB1066" s="84"/>
      <c r="AD1066" s="83"/>
      <c r="AE1066" s="83"/>
    </row>
    <row r="1067" spans="2:31" x14ac:dyDescent="0.25">
      <c r="B1067" s="82"/>
      <c r="R1067"/>
      <c r="S1067"/>
      <c r="T1067"/>
      <c r="U1067" s="84"/>
      <c r="W1067" s="84"/>
      <c r="X1067" s="84"/>
      <c r="Z1067"/>
      <c r="AB1067" s="84"/>
      <c r="AD1067" s="83"/>
      <c r="AE1067" s="83"/>
    </row>
    <row r="1068" spans="2:31" x14ac:dyDescent="0.25">
      <c r="B1068" s="82"/>
      <c r="R1068"/>
      <c r="S1068"/>
      <c r="T1068"/>
      <c r="U1068" s="84"/>
      <c r="W1068" s="84"/>
      <c r="X1068" s="84"/>
      <c r="Z1068"/>
      <c r="AB1068" s="84"/>
      <c r="AD1068" s="83"/>
      <c r="AE1068" s="83"/>
    </row>
    <row r="1069" spans="2:31" x14ac:dyDescent="0.25">
      <c r="B1069" s="82"/>
      <c r="R1069"/>
      <c r="S1069"/>
      <c r="T1069"/>
      <c r="U1069" s="84"/>
      <c r="W1069" s="84"/>
      <c r="X1069" s="84"/>
      <c r="Z1069"/>
      <c r="AB1069" s="84"/>
      <c r="AD1069" s="83"/>
      <c r="AE1069" s="83"/>
    </row>
    <row r="1070" spans="2:31" x14ac:dyDescent="0.25">
      <c r="B1070" s="82"/>
      <c r="R1070"/>
      <c r="S1070"/>
      <c r="T1070"/>
      <c r="U1070" s="84"/>
      <c r="W1070" s="84"/>
      <c r="X1070" s="84"/>
      <c r="Z1070"/>
      <c r="AB1070" s="84"/>
      <c r="AD1070" s="83"/>
      <c r="AE1070" s="83"/>
    </row>
    <row r="1071" spans="2:31" x14ac:dyDescent="0.25">
      <c r="B1071" s="82"/>
      <c r="R1071"/>
      <c r="S1071"/>
      <c r="T1071"/>
      <c r="U1071" s="84"/>
      <c r="W1071" s="84"/>
      <c r="X1071" s="84"/>
      <c r="Z1071"/>
      <c r="AB1071" s="84"/>
      <c r="AD1071" s="83"/>
      <c r="AE1071" s="83"/>
    </row>
    <row r="1072" spans="2:31" x14ac:dyDescent="0.25">
      <c r="B1072" s="82"/>
      <c r="R1072"/>
      <c r="S1072"/>
      <c r="T1072"/>
      <c r="U1072" s="84"/>
      <c r="W1072" s="84"/>
      <c r="X1072" s="84"/>
      <c r="Z1072"/>
      <c r="AB1072" s="84"/>
      <c r="AD1072" s="83"/>
      <c r="AE1072" s="83"/>
    </row>
    <row r="1073" spans="2:31" x14ac:dyDescent="0.25">
      <c r="B1073" s="82"/>
      <c r="R1073"/>
      <c r="S1073"/>
      <c r="T1073"/>
      <c r="U1073" s="84"/>
      <c r="W1073" s="84"/>
      <c r="X1073" s="84"/>
      <c r="Z1073"/>
      <c r="AB1073" s="84"/>
      <c r="AD1073" s="83"/>
      <c r="AE1073" s="83"/>
    </row>
    <row r="1074" spans="2:31" x14ac:dyDescent="0.25">
      <c r="B1074" s="82"/>
      <c r="R1074"/>
      <c r="S1074"/>
      <c r="T1074"/>
      <c r="U1074" s="84"/>
      <c r="W1074" s="84"/>
      <c r="X1074" s="84"/>
      <c r="Z1074"/>
      <c r="AB1074" s="84"/>
      <c r="AD1074" s="83"/>
      <c r="AE1074" s="83"/>
    </row>
    <row r="1075" spans="2:31" x14ac:dyDescent="0.25">
      <c r="B1075" s="82"/>
      <c r="R1075"/>
      <c r="S1075"/>
      <c r="T1075"/>
      <c r="U1075" s="84"/>
      <c r="W1075" s="84"/>
      <c r="X1075" s="84"/>
      <c r="Z1075"/>
      <c r="AB1075" s="84"/>
      <c r="AD1075" s="83"/>
      <c r="AE1075" s="83"/>
    </row>
    <row r="1076" spans="2:31" x14ac:dyDescent="0.25">
      <c r="B1076" s="82"/>
      <c r="R1076"/>
      <c r="S1076"/>
      <c r="T1076"/>
      <c r="U1076" s="84"/>
      <c r="W1076" s="84"/>
      <c r="X1076" s="84"/>
      <c r="Z1076"/>
      <c r="AB1076" s="84"/>
      <c r="AD1076" s="83"/>
      <c r="AE1076" s="83"/>
    </row>
    <row r="1077" spans="2:31" x14ac:dyDescent="0.25">
      <c r="B1077" s="82"/>
      <c r="R1077"/>
      <c r="S1077"/>
      <c r="T1077"/>
      <c r="U1077" s="84"/>
      <c r="W1077" s="84"/>
      <c r="X1077" s="84"/>
      <c r="Z1077"/>
      <c r="AB1077" s="84"/>
      <c r="AD1077" s="83"/>
      <c r="AE1077" s="83"/>
    </row>
    <row r="1078" spans="2:31" x14ac:dyDescent="0.25">
      <c r="B1078" s="82"/>
      <c r="R1078"/>
      <c r="S1078"/>
      <c r="T1078"/>
      <c r="U1078" s="84"/>
      <c r="W1078" s="84"/>
      <c r="X1078" s="84"/>
      <c r="Z1078"/>
      <c r="AB1078" s="84"/>
      <c r="AD1078" s="83"/>
      <c r="AE1078" s="83"/>
    </row>
    <row r="1079" spans="2:31" x14ac:dyDescent="0.25">
      <c r="B1079" s="82"/>
      <c r="R1079"/>
      <c r="S1079"/>
      <c r="T1079"/>
      <c r="U1079" s="84"/>
      <c r="W1079" s="84"/>
      <c r="X1079" s="84"/>
      <c r="Z1079"/>
      <c r="AB1079" s="84"/>
      <c r="AD1079" s="83"/>
      <c r="AE1079" s="83"/>
    </row>
    <row r="1080" spans="2:31" x14ac:dyDescent="0.25">
      <c r="B1080" s="82"/>
      <c r="R1080"/>
      <c r="S1080"/>
      <c r="T1080"/>
      <c r="U1080" s="84"/>
      <c r="W1080" s="84"/>
      <c r="X1080" s="84"/>
      <c r="Z1080"/>
      <c r="AB1080" s="84"/>
      <c r="AD1080" s="83"/>
      <c r="AE1080" s="83"/>
    </row>
    <row r="1081" spans="2:31" x14ac:dyDescent="0.25">
      <c r="B1081" s="82"/>
      <c r="R1081"/>
      <c r="S1081"/>
      <c r="T1081"/>
      <c r="U1081" s="84"/>
      <c r="W1081" s="84"/>
      <c r="X1081" s="84"/>
      <c r="Z1081"/>
      <c r="AB1081" s="84"/>
      <c r="AD1081" s="83"/>
      <c r="AE1081" s="83"/>
    </row>
    <row r="1082" spans="2:31" x14ac:dyDescent="0.25">
      <c r="B1082" s="82"/>
      <c r="R1082"/>
      <c r="S1082"/>
      <c r="T1082"/>
      <c r="U1082" s="84"/>
      <c r="W1082" s="84"/>
      <c r="X1082" s="84"/>
      <c r="Z1082"/>
      <c r="AB1082" s="84"/>
      <c r="AD1082" s="83"/>
      <c r="AE1082" s="83"/>
    </row>
    <row r="1083" spans="2:31" x14ac:dyDescent="0.25">
      <c r="B1083" s="82"/>
      <c r="R1083"/>
      <c r="S1083"/>
      <c r="T1083"/>
      <c r="U1083" s="84"/>
      <c r="W1083" s="84"/>
      <c r="X1083" s="84"/>
      <c r="Z1083"/>
      <c r="AB1083" s="84"/>
      <c r="AD1083" s="83"/>
      <c r="AE1083" s="83"/>
    </row>
    <row r="1084" spans="2:31" x14ac:dyDescent="0.25">
      <c r="B1084" s="82"/>
      <c r="R1084"/>
      <c r="S1084"/>
      <c r="T1084"/>
      <c r="U1084" s="84"/>
      <c r="W1084" s="84"/>
      <c r="X1084" s="84"/>
      <c r="Z1084"/>
      <c r="AB1084" s="84"/>
      <c r="AD1084" s="83"/>
      <c r="AE1084" s="83"/>
    </row>
    <row r="1085" spans="2:31" x14ac:dyDescent="0.25">
      <c r="B1085" s="82"/>
      <c r="R1085"/>
      <c r="S1085"/>
      <c r="T1085"/>
      <c r="U1085" s="84"/>
      <c r="W1085" s="84"/>
      <c r="X1085" s="84"/>
      <c r="Z1085"/>
      <c r="AB1085" s="84"/>
      <c r="AD1085" s="83"/>
      <c r="AE1085" s="83"/>
    </row>
    <row r="1086" spans="2:31" x14ac:dyDescent="0.25">
      <c r="B1086" s="82"/>
      <c r="R1086"/>
      <c r="S1086"/>
      <c r="T1086"/>
      <c r="U1086" s="84"/>
      <c r="W1086" s="84"/>
      <c r="X1086" s="84"/>
      <c r="Z1086"/>
      <c r="AB1086" s="84"/>
      <c r="AD1086" s="83"/>
      <c r="AE1086" s="83"/>
    </row>
    <row r="1087" spans="2:31" x14ac:dyDescent="0.25">
      <c r="B1087" s="82"/>
      <c r="R1087"/>
      <c r="S1087"/>
      <c r="T1087"/>
      <c r="U1087" s="84"/>
      <c r="W1087" s="84"/>
      <c r="X1087" s="84"/>
      <c r="Z1087"/>
      <c r="AB1087" s="84"/>
      <c r="AD1087" s="83"/>
      <c r="AE1087" s="83"/>
    </row>
    <row r="1088" spans="2:31" x14ac:dyDescent="0.25">
      <c r="B1088" s="82"/>
      <c r="R1088"/>
      <c r="S1088"/>
      <c r="T1088"/>
      <c r="U1088" s="84"/>
      <c r="W1088" s="84"/>
      <c r="X1088" s="84"/>
      <c r="Z1088"/>
      <c r="AB1088" s="84"/>
      <c r="AD1088" s="83"/>
      <c r="AE1088" s="83"/>
    </row>
    <row r="1089" spans="2:31" x14ac:dyDescent="0.25">
      <c r="B1089" s="82"/>
      <c r="R1089"/>
      <c r="S1089"/>
      <c r="T1089"/>
      <c r="U1089" s="84"/>
      <c r="W1089" s="84"/>
      <c r="X1089" s="84"/>
      <c r="Z1089"/>
      <c r="AB1089" s="84"/>
      <c r="AD1089" s="83"/>
      <c r="AE1089" s="83"/>
    </row>
    <row r="1090" spans="2:31" x14ac:dyDescent="0.25">
      <c r="B1090" s="82"/>
      <c r="R1090"/>
      <c r="S1090"/>
      <c r="T1090"/>
      <c r="U1090" s="84"/>
      <c r="W1090" s="84"/>
      <c r="X1090" s="84"/>
      <c r="Z1090"/>
      <c r="AB1090" s="84"/>
      <c r="AD1090" s="83"/>
      <c r="AE1090" s="83"/>
    </row>
    <row r="1091" spans="2:31" x14ac:dyDescent="0.25">
      <c r="B1091" s="82"/>
      <c r="R1091"/>
      <c r="S1091"/>
      <c r="T1091"/>
      <c r="U1091" s="84"/>
      <c r="W1091" s="84"/>
      <c r="X1091" s="84"/>
      <c r="Z1091"/>
      <c r="AB1091" s="84"/>
      <c r="AD1091" s="83"/>
      <c r="AE1091" s="83"/>
    </row>
    <row r="1092" spans="2:31" x14ac:dyDescent="0.25">
      <c r="B1092" s="82"/>
      <c r="R1092"/>
      <c r="S1092"/>
      <c r="T1092"/>
      <c r="U1092" s="84"/>
      <c r="W1092" s="84"/>
      <c r="X1092" s="84"/>
      <c r="Z1092"/>
      <c r="AB1092" s="84"/>
      <c r="AD1092" s="83"/>
      <c r="AE1092" s="83"/>
    </row>
    <row r="1093" spans="2:31" x14ac:dyDescent="0.25">
      <c r="B1093" s="82"/>
      <c r="R1093"/>
      <c r="S1093"/>
      <c r="T1093"/>
      <c r="U1093" s="84"/>
      <c r="W1093" s="84"/>
      <c r="X1093" s="84"/>
      <c r="Z1093"/>
      <c r="AB1093" s="84"/>
      <c r="AD1093" s="83"/>
      <c r="AE1093" s="83"/>
    </row>
    <row r="1094" spans="2:31" x14ac:dyDescent="0.25">
      <c r="B1094" s="82"/>
      <c r="R1094"/>
      <c r="S1094"/>
      <c r="T1094"/>
      <c r="U1094" s="84"/>
      <c r="W1094" s="84"/>
      <c r="X1094" s="84"/>
      <c r="Z1094"/>
      <c r="AB1094" s="84"/>
      <c r="AD1094" s="83"/>
      <c r="AE1094" s="83"/>
    </row>
    <row r="1095" spans="2:31" x14ac:dyDescent="0.25">
      <c r="B1095" s="82"/>
      <c r="R1095"/>
      <c r="S1095"/>
      <c r="T1095"/>
      <c r="U1095" s="84"/>
      <c r="W1095" s="84"/>
      <c r="X1095" s="84"/>
      <c r="Z1095"/>
      <c r="AB1095" s="84"/>
      <c r="AD1095" s="83"/>
      <c r="AE1095" s="83"/>
    </row>
    <row r="1096" spans="2:31" x14ac:dyDescent="0.25">
      <c r="B1096" s="82"/>
      <c r="R1096"/>
      <c r="S1096"/>
      <c r="T1096"/>
      <c r="U1096" s="84"/>
      <c r="W1096" s="84"/>
      <c r="X1096" s="84"/>
      <c r="Z1096"/>
      <c r="AB1096" s="84"/>
      <c r="AD1096" s="83"/>
      <c r="AE1096" s="83"/>
    </row>
    <row r="1097" spans="2:31" x14ac:dyDescent="0.25">
      <c r="B1097" s="82"/>
      <c r="R1097"/>
      <c r="S1097"/>
      <c r="T1097"/>
      <c r="U1097" s="84"/>
      <c r="W1097" s="84"/>
      <c r="X1097" s="84"/>
      <c r="Z1097"/>
      <c r="AB1097" s="84"/>
      <c r="AD1097" s="83"/>
      <c r="AE1097" s="83"/>
    </row>
    <row r="1098" spans="2:31" x14ac:dyDescent="0.25">
      <c r="B1098" s="82"/>
      <c r="R1098"/>
      <c r="S1098"/>
      <c r="T1098"/>
      <c r="U1098" s="84"/>
      <c r="W1098" s="84"/>
      <c r="X1098" s="84"/>
      <c r="Z1098"/>
      <c r="AB1098" s="84"/>
      <c r="AD1098" s="83"/>
      <c r="AE1098" s="83"/>
    </row>
    <row r="1099" spans="2:31" x14ac:dyDescent="0.25">
      <c r="B1099" s="82"/>
      <c r="R1099"/>
      <c r="S1099"/>
      <c r="T1099"/>
      <c r="U1099" s="84"/>
      <c r="W1099" s="84"/>
      <c r="X1099" s="84"/>
      <c r="Z1099"/>
      <c r="AB1099" s="84"/>
      <c r="AD1099" s="83"/>
      <c r="AE1099" s="83"/>
    </row>
    <row r="1100" spans="2:31" x14ac:dyDescent="0.25">
      <c r="B1100" s="82"/>
      <c r="R1100"/>
      <c r="S1100"/>
      <c r="T1100"/>
      <c r="U1100" s="84"/>
      <c r="W1100" s="84"/>
      <c r="X1100" s="84"/>
      <c r="Z1100"/>
      <c r="AB1100" s="84"/>
      <c r="AD1100" s="83"/>
      <c r="AE1100" s="83"/>
    </row>
    <row r="1101" spans="2:31" x14ac:dyDescent="0.25">
      <c r="B1101" s="82"/>
      <c r="R1101"/>
      <c r="S1101"/>
      <c r="T1101"/>
      <c r="U1101" s="84"/>
      <c r="W1101" s="84"/>
      <c r="X1101" s="84"/>
      <c r="Z1101"/>
      <c r="AB1101" s="84"/>
      <c r="AD1101" s="83"/>
      <c r="AE1101" s="83"/>
    </row>
    <row r="1102" spans="2:31" x14ac:dyDescent="0.25">
      <c r="B1102" s="82"/>
      <c r="R1102"/>
      <c r="S1102"/>
      <c r="T1102"/>
      <c r="U1102" s="84"/>
      <c r="W1102" s="84"/>
      <c r="X1102" s="84"/>
      <c r="Z1102"/>
      <c r="AB1102" s="84"/>
      <c r="AD1102" s="83"/>
      <c r="AE1102" s="83"/>
    </row>
    <row r="1103" spans="2:31" x14ac:dyDescent="0.25">
      <c r="B1103" s="82"/>
      <c r="R1103"/>
      <c r="S1103"/>
      <c r="T1103"/>
      <c r="U1103" s="84"/>
      <c r="W1103" s="84"/>
      <c r="X1103" s="84"/>
      <c r="Z1103"/>
      <c r="AB1103" s="84"/>
      <c r="AD1103" s="83"/>
      <c r="AE1103" s="83"/>
    </row>
    <row r="1104" spans="2:31" x14ac:dyDescent="0.25">
      <c r="B1104" s="82"/>
      <c r="R1104"/>
      <c r="S1104"/>
      <c r="T1104"/>
      <c r="U1104" s="84"/>
      <c r="W1104" s="84"/>
      <c r="X1104" s="84"/>
      <c r="Z1104"/>
      <c r="AB1104" s="84"/>
      <c r="AD1104" s="83"/>
      <c r="AE1104" s="83"/>
    </row>
    <row r="1105" spans="2:31" x14ac:dyDescent="0.25">
      <c r="B1105" s="82"/>
      <c r="R1105"/>
      <c r="S1105"/>
      <c r="T1105"/>
      <c r="U1105" s="84"/>
      <c r="W1105" s="84"/>
      <c r="X1105" s="84"/>
      <c r="Z1105"/>
      <c r="AB1105" s="84"/>
      <c r="AD1105" s="83"/>
      <c r="AE1105" s="83"/>
    </row>
    <row r="1106" spans="2:31" x14ac:dyDescent="0.25">
      <c r="B1106" s="82"/>
      <c r="R1106"/>
      <c r="S1106"/>
      <c r="T1106"/>
      <c r="U1106" s="84"/>
      <c r="W1106" s="84"/>
      <c r="X1106" s="84"/>
      <c r="Z1106"/>
      <c r="AB1106" s="84"/>
      <c r="AD1106" s="83"/>
      <c r="AE1106" s="83"/>
    </row>
    <row r="1107" spans="2:31" x14ac:dyDescent="0.25">
      <c r="B1107" s="82"/>
      <c r="R1107"/>
      <c r="S1107"/>
      <c r="T1107"/>
      <c r="U1107" s="84"/>
      <c r="W1107" s="84"/>
      <c r="X1107" s="84"/>
      <c r="Z1107"/>
      <c r="AB1107" s="84"/>
      <c r="AD1107" s="83"/>
      <c r="AE1107" s="83"/>
    </row>
    <row r="1108" spans="2:31" x14ac:dyDescent="0.25">
      <c r="B1108" s="82"/>
      <c r="R1108"/>
      <c r="S1108"/>
      <c r="T1108"/>
      <c r="U1108" s="84"/>
      <c r="W1108" s="84"/>
      <c r="X1108" s="84"/>
      <c r="Z1108"/>
      <c r="AB1108" s="84"/>
      <c r="AD1108" s="83"/>
      <c r="AE1108" s="83"/>
    </row>
    <row r="1109" spans="2:31" x14ac:dyDescent="0.25">
      <c r="B1109" s="82"/>
      <c r="R1109"/>
      <c r="S1109"/>
      <c r="T1109"/>
      <c r="U1109" s="84"/>
      <c r="W1109" s="84"/>
      <c r="X1109" s="84"/>
      <c r="Z1109"/>
      <c r="AB1109" s="84"/>
      <c r="AD1109" s="83"/>
      <c r="AE1109" s="83"/>
    </row>
    <row r="1110" spans="2:31" x14ac:dyDescent="0.25">
      <c r="B1110" s="82"/>
      <c r="R1110"/>
      <c r="S1110"/>
      <c r="T1110"/>
      <c r="U1110" s="84"/>
      <c r="W1110" s="84"/>
      <c r="X1110" s="84"/>
      <c r="Z1110"/>
      <c r="AB1110" s="84"/>
      <c r="AD1110" s="83"/>
      <c r="AE1110" s="83"/>
    </row>
    <row r="1111" spans="2:31" x14ac:dyDescent="0.25">
      <c r="B1111" s="82"/>
      <c r="R1111"/>
      <c r="S1111"/>
      <c r="T1111"/>
      <c r="U1111" s="84"/>
      <c r="W1111" s="84"/>
      <c r="X1111" s="84"/>
      <c r="Z1111"/>
      <c r="AB1111" s="84"/>
      <c r="AD1111" s="83"/>
      <c r="AE1111" s="83"/>
    </row>
    <row r="1112" spans="2:31" x14ac:dyDescent="0.25">
      <c r="B1112" s="82"/>
      <c r="R1112"/>
      <c r="S1112"/>
      <c r="T1112"/>
      <c r="U1112" s="84"/>
      <c r="W1112" s="84"/>
      <c r="X1112" s="84"/>
      <c r="Z1112"/>
      <c r="AB1112" s="84"/>
      <c r="AD1112" s="83"/>
      <c r="AE1112" s="83"/>
    </row>
    <row r="1113" spans="2:31" x14ac:dyDescent="0.25">
      <c r="B1113" s="82"/>
      <c r="R1113"/>
      <c r="S1113"/>
      <c r="T1113"/>
      <c r="U1113" s="84"/>
      <c r="W1113" s="84"/>
      <c r="X1113" s="84"/>
      <c r="Z1113"/>
      <c r="AB1113" s="84"/>
      <c r="AD1113" s="83"/>
      <c r="AE1113" s="83"/>
    </row>
    <row r="1114" spans="2:31" x14ac:dyDescent="0.25">
      <c r="B1114" s="82"/>
      <c r="R1114"/>
      <c r="S1114"/>
      <c r="T1114"/>
      <c r="U1114" s="84"/>
      <c r="W1114" s="84"/>
      <c r="X1114" s="84"/>
      <c r="Z1114"/>
      <c r="AB1114" s="84"/>
      <c r="AD1114" s="83"/>
      <c r="AE1114" s="83"/>
    </row>
    <row r="1115" spans="2:31" x14ac:dyDescent="0.25">
      <c r="B1115" s="82"/>
      <c r="R1115"/>
      <c r="S1115"/>
      <c r="T1115"/>
      <c r="U1115" s="84"/>
      <c r="W1115" s="84"/>
      <c r="X1115" s="84"/>
      <c r="Z1115"/>
      <c r="AB1115" s="84"/>
      <c r="AD1115" s="83"/>
      <c r="AE1115" s="83"/>
    </row>
    <row r="1116" spans="2:31" x14ac:dyDescent="0.25">
      <c r="B1116" s="82"/>
      <c r="R1116"/>
      <c r="S1116"/>
      <c r="T1116"/>
      <c r="U1116" s="84"/>
      <c r="W1116" s="84"/>
      <c r="X1116" s="84"/>
      <c r="Z1116"/>
      <c r="AB1116" s="84"/>
      <c r="AD1116" s="83"/>
      <c r="AE1116" s="83"/>
    </row>
    <row r="1117" spans="2:31" x14ac:dyDescent="0.25">
      <c r="B1117" s="82"/>
      <c r="R1117"/>
      <c r="S1117"/>
      <c r="T1117"/>
      <c r="U1117" s="84"/>
      <c r="W1117" s="84"/>
      <c r="X1117" s="84"/>
      <c r="Z1117"/>
      <c r="AB1117" s="84"/>
      <c r="AD1117" s="83"/>
      <c r="AE1117" s="83"/>
    </row>
    <row r="1118" spans="2:31" x14ac:dyDescent="0.25">
      <c r="B1118" s="82"/>
      <c r="R1118"/>
      <c r="S1118"/>
      <c r="T1118"/>
      <c r="U1118" s="84"/>
      <c r="W1118" s="84"/>
      <c r="X1118" s="84"/>
      <c r="Z1118"/>
      <c r="AB1118" s="84"/>
      <c r="AD1118" s="83"/>
      <c r="AE1118" s="83"/>
    </row>
    <row r="1119" spans="2:31" x14ac:dyDescent="0.25">
      <c r="B1119" s="82"/>
      <c r="R1119"/>
      <c r="S1119"/>
      <c r="T1119"/>
      <c r="U1119" s="84"/>
      <c r="W1119" s="84"/>
      <c r="X1119" s="84"/>
      <c r="Z1119"/>
      <c r="AB1119" s="84"/>
      <c r="AD1119" s="83"/>
      <c r="AE1119" s="83"/>
    </row>
    <row r="1120" spans="2:31" x14ac:dyDescent="0.25">
      <c r="B1120" s="82"/>
      <c r="R1120"/>
      <c r="S1120"/>
      <c r="T1120"/>
      <c r="U1120" s="84"/>
      <c r="W1120" s="84"/>
      <c r="X1120" s="84"/>
      <c r="Z1120"/>
      <c r="AB1120" s="84"/>
      <c r="AD1120" s="83"/>
      <c r="AE1120" s="83"/>
    </row>
    <row r="1121" spans="2:31" x14ac:dyDescent="0.25">
      <c r="B1121" s="82"/>
      <c r="R1121"/>
      <c r="S1121"/>
      <c r="T1121"/>
      <c r="U1121" s="84"/>
      <c r="W1121" s="84"/>
      <c r="X1121" s="84"/>
      <c r="Z1121"/>
      <c r="AB1121" s="84"/>
      <c r="AD1121" s="83"/>
      <c r="AE1121" s="83"/>
    </row>
    <row r="1122" spans="2:31" x14ac:dyDescent="0.25">
      <c r="B1122" s="82"/>
      <c r="R1122"/>
      <c r="S1122"/>
      <c r="T1122"/>
      <c r="U1122" s="84"/>
      <c r="W1122" s="84"/>
      <c r="X1122" s="84"/>
      <c r="Z1122"/>
      <c r="AB1122" s="84"/>
      <c r="AD1122" s="83"/>
      <c r="AE1122" s="83"/>
    </row>
    <row r="1123" spans="2:31" x14ac:dyDescent="0.25">
      <c r="B1123" s="82"/>
      <c r="R1123"/>
      <c r="S1123"/>
      <c r="T1123"/>
      <c r="U1123" s="84"/>
      <c r="W1123" s="84"/>
      <c r="X1123" s="84"/>
      <c r="Z1123"/>
      <c r="AB1123" s="84"/>
      <c r="AD1123" s="83"/>
      <c r="AE1123" s="83"/>
    </row>
    <row r="1124" spans="2:31" x14ac:dyDescent="0.25">
      <c r="B1124" s="82"/>
      <c r="R1124"/>
      <c r="S1124"/>
      <c r="T1124"/>
      <c r="U1124" s="84"/>
      <c r="W1124" s="84"/>
      <c r="X1124" s="84"/>
      <c r="Z1124"/>
      <c r="AB1124" s="84"/>
      <c r="AD1124" s="83"/>
      <c r="AE1124" s="83"/>
    </row>
    <row r="1125" spans="2:31" x14ac:dyDescent="0.25">
      <c r="B1125" s="82"/>
      <c r="R1125"/>
      <c r="S1125"/>
      <c r="T1125"/>
      <c r="U1125" s="84"/>
      <c r="W1125" s="84"/>
      <c r="X1125" s="84"/>
      <c r="Z1125"/>
      <c r="AB1125" s="84"/>
      <c r="AD1125" s="83"/>
      <c r="AE1125" s="83"/>
    </row>
    <row r="1126" spans="2:31" x14ac:dyDescent="0.25">
      <c r="B1126" s="82"/>
      <c r="R1126"/>
      <c r="S1126"/>
      <c r="T1126"/>
      <c r="U1126" s="84"/>
      <c r="W1126" s="84"/>
      <c r="X1126" s="84"/>
      <c r="Z1126"/>
      <c r="AB1126" s="84"/>
      <c r="AD1126" s="83"/>
      <c r="AE1126" s="83"/>
    </row>
    <row r="1127" spans="2:31" x14ac:dyDescent="0.25">
      <c r="B1127" s="82"/>
      <c r="R1127"/>
      <c r="S1127"/>
      <c r="T1127"/>
      <c r="U1127" s="84"/>
      <c r="W1127" s="84"/>
      <c r="X1127" s="84"/>
      <c r="Z1127"/>
      <c r="AB1127" s="84"/>
      <c r="AD1127" s="83"/>
      <c r="AE1127" s="83"/>
    </row>
    <row r="1128" spans="2:31" x14ac:dyDescent="0.25">
      <c r="B1128" s="82"/>
      <c r="R1128"/>
      <c r="S1128"/>
      <c r="T1128"/>
      <c r="U1128" s="84"/>
      <c r="W1128" s="84"/>
      <c r="X1128" s="84"/>
      <c r="Z1128"/>
      <c r="AB1128" s="84"/>
      <c r="AD1128" s="83"/>
      <c r="AE1128" s="83"/>
    </row>
    <row r="1129" spans="2:31" x14ac:dyDescent="0.25">
      <c r="B1129" s="82"/>
      <c r="R1129"/>
      <c r="S1129"/>
      <c r="T1129"/>
      <c r="U1129" s="84"/>
      <c r="W1129" s="84"/>
      <c r="X1129" s="84"/>
      <c r="Z1129"/>
      <c r="AB1129" s="84"/>
      <c r="AD1129" s="83"/>
      <c r="AE1129" s="83"/>
    </row>
    <row r="1130" spans="2:31" x14ac:dyDescent="0.25">
      <c r="B1130" s="82"/>
      <c r="R1130"/>
      <c r="S1130"/>
      <c r="T1130"/>
      <c r="U1130" s="84"/>
      <c r="W1130" s="84"/>
      <c r="X1130" s="84"/>
      <c r="Z1130"/>
      <c r="AB1130" s="84"/>
      <c r="AD1130" s="83"/>
      <c r="AE1130" s="83"/>
    </row>
    <row r="1131" spans="2:31" x14ac:dyDescent="0.25">
      <c r="B1131" s="82"/>
      <c r="R1131"/>
      <c r="S1131"/>
      <c r="T1131"/>
      <c r="U1131" s="84"/>
      <c r="W1131" s="84"/>
      <c r="X1131" s="84"/>
      <c r="Z1131"/>
      <c r="AB1131" s="84"/>
      <c r="AD1131" s="83"/>
      <c r="AE1131" s="83"/>
    </row>
    <row r="1132" spans="2:31" x14ac:dyDescent="0.25">
      <c r="B1132" s="82"/>
      <c r="R1132"/>
      <c r="S1132"/>
      <c r="T1132"/>
      <c r="U1132" s="84"/>
      <c r="W1132" s="84"/>
      <c r="X1132" s="84"/>
      <c r="Z1132"/>
      <c r="AB1132" s="84"/>
      <c r="AD1132" s="83"/>
      <c r="AE1132" s="83"/>
    </row>
    <row r="1133" spans="2:31" x14ac:dyDescent="0.25">
      <c r="B1133" s="82"/>
      <c r="R1133"/>
      <c r="S1133"/>
      <c r="T1133"/>
      <c r="U1133" s="84"/>
      <c r="W1133" s="84"/>
      <c r="X1133" s="84"/>
      <c r="Z1133"/>
      <c r="AB1133" s="84"/>
      <c r="AD1133" s="83"/>
      <c r="AE1133" s="83"/>
    </row>
    <row r="1134" spans="2:31" x14ac:dyDescent="0.25">
      <c r="B1134" s="82"/>
      <c r="R1134"/>
      <c r="S1134"/>
      <c r="T1134"/>
      <c r="U1134" s="84"/>
      <c r="W1134" s="84"/>
      <c r="X1134" s="84"/>
      <c r="Z1134"/>
      <c r="AB1134" s="84"/>
      <c r="AD1134" s="83"/>
      <c r="AE1134" s="83"/>
    </row>
    <row r="1135" spans="2:31" x14ac:dyDescent="0.25">
      <c r="B1135" s="82"/>
      <c r="R1135"/>
      <c r="S1135"/>
      <c r="T1135"/>
      <c r="U1135" s="84"/>
      <c r="W1135" s="84"/>
      <c r="X1135" s="84"/>
      <c r="Z1135"/>
      <c r="AB1135" s="84"/>
      <c r="AD1135" s="83"/>
      <c r="AE1135" s="83"/>
    </row>
    <row r="1136" spans="2:31" x14ac:dyDescent="0.25">
      <c r="B1136" s="82"/>
      <c r="R1136"/>
      <c r="S1136"/>
      <c r="T1136"/>
      <c r="U1136" s="84"/>
      <c r="W1136" s="84"/>
      <c r="X1136" s="84"/>
      <c r="Z1136"/>
      <c r="AB1136" s="84"/>
      <c r="AD1136" s="83"/>
      <c r="AE1136" s="83"/>
    </row>
    <row r="1137" spans="2:31" x14ac:dyDescent="0.25">
      <c r="B1137" s="82"/>
      <c r="R1137"/>
      <c r="S1137"/>
      <c r="T1137"/>
      <c r="U1137" s="84"/>
      <c r="W1137" s="84"/>
      <c r="X1137" s="84"/>
      <c r="Z1137"/>
      <c r="AB1137" s="84"/>
      <c r="AD1137" s="83"/>
      <c r="AE1137" s="83"/>
    </row>
    <row r="1138" spans="2:31" x14ac:dyDescent="0.25">
      <c r="B1138" s="82"/>
      <c r="R1138"/>
      <c r="S1138"/>
      <c r="T1138"/>
      <c r="U1138" s="84"/>
      <c r="W1138" s="84"/>
      <c r="X1138" s="84"/>
      <c r="Z1138"/>
      <c r="AB1138" s="84"/>
      <c r="AD1138" s="83"/>
      <c r="AE1138" s="83"/>
    </row>
    <row r="1139" spans="2:31" x14ac:dyDescent="0.25">
      <c r="B1139" s="82"/>
      <c r="R1139"/>
      <c r="S1139"/>
      <c r="T1139"/>
      <c r="U1139" s="84"/>
      <c r="W1139" s="84"/>
      <c r="X1139" s="84"/>
      <c r="Z1139"/>
      <c r="AB1139" s="84"/>
      <c r="AD1139" s="83"/>
      <c r="AE1139" s="83"/>
    </row>
    <row r="1140" spans="2:31" x14ac:dyDescent="0.25">
      <c r="B1140" s="82"/>
      <c r="R1140"/>
      <c r="S1140"/>
      <c r="T1140"/>
      <c r="U1140" s="84"/>
      <c r="W1140" s="84"/>
      <c r="X1140" s="84"/>
      <c r="Z1140"/>
      <c r="AB1140" s="84"/>
      <c r="AD1140" s="83"/>
      <c r="AE1140" s="83"/>
    </row>
    <row r="1141" spans="2:31" x14ac:dyDescent="0.25">
      <c r="B1141" s="82"/>
      <c r="R1141"/>
      <c r="S1141"/>
      <c r="T1141"/>
      <c r="U1141" s="84"/>
      <c r="W1141" s="84"/>
      <c r="X1141" s="84"/>
      <c r="Z1141"/>
      <c r="AB1141" s="84"/>
      <c r="AD1141" s="83"/>
      <c r="AE1141" s="83"/>
    </row>
    <row r="1142" spans="2:31" x14ac:dyDescent="0.25">
      <c r="B1142" s="82"/>
      <c r="R1142"/>
      <c r="S1142"/>
      <c r="T1142"/>
      <c r="U1142" s="84"/>
      <c r="W1142" s="84"/>
      <c r="X1142" s="84"/>
      <c r="Z1142"/>
      <c r="AB1142" s="84"/>
      <c r="AD1142" s="83"/>
      <c r="AE1142" s="83"/>
    </row>
    <row r="1143" spans="2:31" x14ac:dyDescent="0.25">
      <c r="B1143" s="82"/>
      <c r="R1143"/>
      <c r="S1143"/>
      <c r="T1143"/>
      <c r="U1143" s="84"/>
      <c r="W1143" s="84"/>
      <c r="X1143" s="84"/>
      <c r="Z1143"/>
      <c r="AB1143" s="84"/>
      <c r="AD1143" s="83"/>
      <c r="AE1143" s="83"/>
    </row>
    <row r="1144" spans="2:31" x14ac:dyDescent="0.25">
      <c r="B1144" s="82"/>
      <c r="R1144"/>
      <c r="S1144"/>
      <c r="T1144"/>
      <c r="U1144" s="84"/>
      <c r="W1144" s="84"/>
      <c r="X1144" s="84"/>
      <c r="Z1144"/>
      <c r="AB1144" s="84"/>
      <c r="AD1144" s="83"/>
      <c r="AE1144" s="83"/>
    </row>
    <row r="1145" spans="2:31" x14ac:dyDescent="0.25">
      <c r="B1145" s="82"/>
      <c r="R1145"/>
      <c r="S1145"/>
      <c r="T1145"/>
      <c r="U1145" s="84"/>
      <c r="W1145" s="84"/>
      <c r="X1145" s="84"/>
      <c r="Z1145"/>
      <c r="AB1145" s="84"/>
      <c r="AD1145" s="83"/>
      <c r="AE1145" s="83"/>
    </row>
    <row r="1146" spans="2:31" x14ac:dyDescent="0.25">
      <c r="B1146" s="82"/>
      <c r="R1146"/>
      <c r="S1146"/>
      <c r="T1146"/>
      <c r="U1146" s="84"/>
      <c r="W1146" s="84"/>
      <c r="X1146" s="84"/>
      <c r="Z1146"/>
      <c r="AB1146" s="84"/>
      <c r="AD1146" s="83"/>
      <c r="AE1146" s="83"/>
    </row>
    <row r="1147" spans="2:31" x14ac:dyDescent="0.25">
      <c r="B1147" s="82"/>
      <c r="R1147"/>
      <c r="S1147"/>
      <c r="T1147"/>
      <c r="U1147" s="84"/>
      <c r="W1147" s="84"/>
      <c r="X1147" s="84"/>
      <c r="Z1147"/>
      <c r="AB1147" s="84"/>
      <c r="AD1147" s="83"/>
      <c r="AE1147" s="83"/>
    </row>
    <row r="1148" spans="2:31" x14ac:dyDescent="0.25">
      <c r="B1148" s="82"/>
      <c r="R1148"/>
      <c r="S1148"/>
      <c r="T1148"/>
      <c r="U1148" s="84"/>
      <c r="W1148" s="84"/>
      <c r="X1148" s="84"/>
      <c r="Z1148"/>
      <c r="AB1148" s="84"/>
      <c r="AD1148" s="83"/>
      <c r="AE1148" s="83"/>
    </row>
    <row r="1149" spans="2:31" x14ac:dyDescent="0.25">
      <c r="B1149" s="82"/>
      <c r="R1149"/>
      <c r="S1149"/>
      <c r="T1149"/>
      <c r="U1149" s="84"/>
      <c r="W1149" s="84"/>
      <c r="X1149" s="84"/>
      <c r="Z1149"/>
      <c r="AB1149" s="84"/>
      <c r="AD1149" s="83"/>
      <c r="AE1149" s="83"/>
    </row>
    <row r="1150" spans="2:31" x14ac:dyDescent="0.25">
      <c r="B1150" s="82"/>
      <c r="R1150"/>
      <c r="S1150"/>
      <c r="T1150"/>
      <c r="U1150" s="84"/>
      <c r="W1150" s="84"/>
      <c r="X1150" s="84"/>
      <c r="Z1150"/>
      <c r="AB1150" s="84"/>
      <c r="AD1150" s="83"/>
      <c r="AE1150" s="83"/>
    </row>
    <row r="1151" spans="2:31" x14ac:dyDescent="0.25">
      <c r="B1151" s="82"/>
      <c r="R1151"/>
      <c r="S1151"/>
      <c r="T1151"/>
      <c r="U1151" s="84"/>
      <c r="W1151" s="84"/>
      <c r="X1151" s="84"/>
      <c r="Z1151"/>
      <c r="AB1151" s="84"/>
      <c r="AD1151" s="83"/>
      <c r="AE1151" s="83"/>
    </row>
    <row r="1152" spans="2:31" x14ac:dyDescent="0.25">
      <c r="B1152" s="82"/>
      <c r="R1152"/>
      <c r="S1152"/>
      <c r="T1152"/>
      <c r="U1152" s="84"/>
      <c r="W1152" s="84"/>
      <c r="X1152" s="84"/>
      <c r="Z1152"/>
      <c r="AB1152" s="84"/>
      <c r="AD1152" s="83"/>
      <c r="AE1152" s="83"/>
    </row>
    <row r="1153" spans="2:31" x14ac:dyDescent="0.25">
      <c r="B1153" s="82"/>
      <c r="R1153"/>
      <c r="S1153"/>
      <c r="T1153"/>
      <c r="U1153" s="84"/>
      <c r="W1153" s="84"/>
      <c r="X1153" s="84"/>
      <c r="Z1153"/>
      <c r="AB1153" s="84"/>
      <c r="AD1153" s="83"/>
      <c r="AE1153" s="83"/>
    </row>
    <row r="1154" spans="2:31" x14ac:dyDescent="0.25">
      <c r="B1154" s="82"/>
      <c r="R1154"/>
      <c r="S1154"/>
      <c r="T1154"/>
      <c r="U1154" s="84"/>
      <c r="W1154" s="84"/>
      <c r="X1154" s="84"/>
      <c r="Z1154"/>
      <c r="AB1154" s="84"/>
      <c r="AD1154" s="83"/>
      <c r="AE1154" s="83"/>
    </row>
    <row r="1155" spans="2:31" x14ac:dyDescent="0.25">
      <c r="B1155" s="82"/>
      <c r="R1155"/>
      <c r="S1155"/>
      <c r="T1155"/>
      <c r="U1155" s="84"/>
      <c r="W1155" s="84"/>
      <c r="X1155" s="84"/>
      <c r="Z1155"/>
      <c r="AB1155" s="84"/>
      <c r="AD1155" s="83"/>
      <c r="AE1155" s="83"/>
    </row>
    <row r="1156" spans="2:31" x14ac:dyDescent="0.25">
      <c r="B1156" s="82"/>
      <c r="R1156"/>
      <c r="S1156"/>
      <c r="T1156"/>
      <c r="U1156" s="84"/>
      <c r="W1156" s="84"/>
      <c r="X1156" s="84"/>
      <c r="Z1156"/>
      <c r="AB1156" s="84"/>
      <c r="AD1156" s="83"/>
      <c r="AE1156" s="83"/>
    </row>
    <row r="1157" spans="2:31" x14ac:dyDescent="0.25">
      <c r="B1157" s="82"/>
      <c r="R1157"/>
      <c r="S1157"/>
      <c r="T1157"/>
      <c r="U1157" s="84"/>
      <c r="W1157" s="84"/>
      <c r="X1157" s="84"/>
      <c r="Z1157"/>
      <c r="AB1157" s="84"/>
      <c r="AD1157" s="83"/>
      <c r="AE1157" s="83"/>
    </row>
    <row r="1158" spans="2:31" x14ac:dyDescent="0.25">
      <c r="B1158" s="82"/>
      <c r="R1158"/>
      <c r="S1158"/>
      <c r="T1158"/>
      <c r="U1158" s="84"/>
      <c r="W1158" s="84"/>
      <c r="X1158" s="84"/>
      <c r="Z1158"/>
      <c r="AB1158" s="84"/>
      <c r="AD1158" s="83"/>
      <c r="AE1158" s="83"/>
    </row>
    <row r="1159" spans="2:31" x14ac:dyDescent="0.25">
      <c r="B1159" s="82"/>
      <c r="R1159"/>
      <c r="S1159"/>
      <c r="T1159"/>
      <c r="U1159" s="84"/>
      <c r="W1159" s="84"/>
      <c r="X1159" s="84"/>
      <c r="Z1159"/>
      <c r="AB1159" s="84"/>
      <c r="AD1159" s="83"/>
      <c r="AE1159" s="83"/>
    </row>
    <row r="1160" spans="2:31" x14ac:dyDescent="0.25">
      <c r="B1160" s="82"/>
      <c r="R1160"/>
      <c r="S1160"/>
      <c r="T1160"/>
      <c r="U1160" s="84"/>
      <c r="W1160" s="84"/>
      <c r="X1160" s="84"/>
      <c r="Z1160"/>
      <c r="AB1160" s="84"/>
      <c r="AD1160" s="83"/>
      <c r="AE1160" s="83"/>
    </row>
    <row r="1161" spans="2:31" x14ac:dyDescent="0.25">
      <c r="B1161" s="82"/>
      <c r="R1161"/>
      <c r="S1161"/>
      <c r="T1161"/>
      <c r="U1161" s="84"/>
      <c r="W1161" s="84"/>
      <c r="X1161" s="84"/>
      <c r="Z1161"/>
      <c r="AB1161" s="84"/>
      <c r="AD1161" s="83"/>
      <c r="AE1161" s="83"/>
    </row>
    <row r="1162" spans="2:31" x14ac:dyDescent="0.25">
      <c r="B1162" s="82"/>
      <c r="R1162"/>
      <c r="S1162"/>
      <c r="T1162"/>
      <c r="U1162" s="84"/>
      <c r="W1162" s="84"/>
      <c r="X1162" s="84"/>
      <c r="Z1162"/>
      <c r="AB1162" s="84"/>
      <c r="AD1162" s="83"/>
      <c r="AE1162" s="83"/>
    </row>
    <row r="1163" spans="2:31" x14ac:dyDescent="0.25">
      <c r="B1163" s="82"/>
      <c r="R1163"/>
      <c r="S1163"/>
      <c r="T1163"/>
      <c r="U1163" s="84"/>
      <c r="W1163" s="84"/>
      <c r="X1163" s="84"/>
      <c r="Z1163"/>
      <c r="AB1163" s="84"/>
      <c r="AD1163" s="83"/>
      <c r="AE1163" s="83"/>
    </row>
    <row r="1164" spans="2:31" x14ac:dyDescent="0.25">
      <c r="B1164" s="82"/>
      <c r="R1164"/>
      <c r="S1164"/>
      <c r="T1164"/>
      <c r="U1164" s="84"/>
      <c r="W1164" s="84"/>
      <c r="X1164" s="84"/>
      <c r="Z1164"/>
      <c r="AB1164" s="84"/>
      <c r="AD1164" s="83"/>
      <c r="AE1164" s="83"/>
    </row>
    <row r="1165" spans="2:31" x14ac:dyDescent="0.25">
      <c r="B1165" s="82"/>
      <c r="R1165"/>
      <c r="S1165"/>
      <c r="T1165"/>
      <c r="U1165" s="84"/>
      <c r="W1165" s="84"/>
      <c r="X1165" s="84"/>
      <c r="Z1165"/>
      <c r="AB1165" s="84"/>
      <c r="AD1165" s="83"/>
      <c r="AE1165" s="83"/>
    </row>
    <row r="1166" spans="2:31" x14ac:dyDescent="0.25">
      <c r="B1166" s="82"/>
      <c r="R1166"/>
      <c r="S1166"/>
      <c r="T1166"/>
      <c r="U1166" s="84"/>
      <c r="W1166" s="84"/>
      <c r="X1166" s="84"/>
      <c r="Z1166"/>
      <c r="AB1166" s="84"/>
      <c r="AD1166" s="83"/>
      <c r="AE1166" s="83"/>
    </row>
    <row r="1167" spans="2:31" x14ac:dyDescent="0.25">
      <c r="B1167" s="82"/>
      <c r="R1167"/>
      <c r="S1167"/>
      <c r="T1167"/>
      <c r="U1167" s="84"/>
      <c r="W1167" s="84"/>
      <c r="X1167" s="84"/>
      <c r="Z1167"/>
      <c r="AB1167" s="84"/>
      <c r="AD1167" s="83"/>
      <c r="AE1167" s="83"/>
    </row>
    <row r="1168" spans="2:31" x14ac:dyDescent="0.25">
      <c r="B1168" s="82"/>
      <c r="R1168"/>
      <c r="S1168"/>
      <c r="T1168"/>
      <c r="U1168" s="84"/>
      <c r="W1168" s="84"/>
      <c r="X1168" s="84"/>
      <c r="Z1168"/>
      <c r="AB1168" s="84"/>
      <c r="AD1168" s="83"/>
      <c r="AE1168" s="83"/>
    </row>
    <row r="1169" spans="2:31" x14ac:dyDescent="0.25">
      <c r="B1169" s="82"/>
      <c r="R1169"/>
      <c r="S1169"/>
      <c r="T1169"/>
      <c r="U1169" s="84"/>
      <c r="W1169" s="84"/>
      <c r="X1169" s="84"/>
      <c r="Z1169"/>
      <c r="AB1169" s="84"/>
      <c r="AD1169" s="83"/>
      <c r="AE1169" s="83"/>
    </row>
    <row r="1170" spans="2:31" x14ac:dyDescent="0.25">
      <c r="B1170" s="82"/>
      <c r="R1170"/>
      <c r="S1170"/>
      <c r="T1170"/>
      <c r="U1170" s="84"/>
      <c r="W1170" s="84"/>
      <c r="X1170" s="84"/>
      <c r="Z1170"/>
      <c r="AB1170" s="84"/>
      <c r="AD1170" s="83"/>
      <c r="AE1170" s="83"/>
    </row>
    <row r="1171" spans="2:31" x14ac:dyDescent="0.25">
      <c r="B1171" s="82"/>
      <c r="R1171"/>
      <c r="S1171"/>
      <c r="T1171"/>
      <c r="U1171" s="84"/>
      <c r="W1171" s="84"/>
      <c r="X1171" s="84"/>
      <c r="Z1171"/>
      <c r="AB1171" s="84"/>
      <c r="AD1171" s="83"/>
      <c r="AE1171" s="83"/>
    </row>
    <row r="1172" spans="2:31" x14ac:dyDescent="0.25">
      <c r="B1172" s="82"/>
      <c r="R1172"/>
      <c r="S1172"/>
      <c r="T1172"/>
      <c r="U1172" s="84"/>
      <c r="W1172" s="84"/>
      <c r="X1172" s="84"/>
      <c r="Z1172"/>
      <c r="AB1172" s="84"/>
      <c r="AD1172" s="83"/>
      <c r="AE1172" s="83"/>
    </row>
    <row r="1173" spans="2:31" x14ac:dyDescent="0.25">
      <c r="B1173" s="82"/>
      <c r="R1173"/>
      <c r="S1173"/>
      <c r="T1173"/>
      <c r="U1173" s="84"/>
      <c r="W1173" s="84"/>
      <c r="X1173" s="84"/>
      <c r="Z1173"/>
      <c r="AB1173" s="84"/>
      <c r="AD1173" s="83"/>
      <c r="AE1173" s="83"/>
    </row>
    <row r="1174" spans="2:31" x14ac:dyDescent="0.25">
      <c r="B1174" s="82"/>
      <c r="R1174"/>
      <c r="S1174"/>
      <c r="T1174"/>
      <c r="U1174" s="84"/>
      <c r="W1174" s="84"/>
      <c r="X1174" s="84"/>
      <c r="Z1174"/>
      <c r="AB1174" s="84"/>
      <c r="AD1174" s="83"/>
      <c r="AE1174" s="83"/>
    </row>
    <row r="1175" spans="2:31" x14ac:dyDescent="0.25">
      <c r="B1175" s="82"/>
      <c r="R1175"/>
      <c r="S1175"/>
      <c r="T1175"/>
      <c r="U1175" s="84"/>
      <c r="W1175" s="84"/>
      <c r="X1175" s="84"/>
      <c r="Z1175"/>
      <c r="AB1175" s="84"/>
      <c r="AD1175" s="83"/>
      <c r="AE1175" s="83"/>
    </row>
    <row r="1176" spans="2:31" x14ac:dyDescent="0.25">
      <c r="B1176" s="82"/>
      <c r="R1176"/>
      <c r="S1176"/>
      <c r="T1176"/>
      <c r="U1176" s="84"/>
      <c r="W1176" s="84"/>
      <c r="X1176" s="84"/>
      <c r="Z1176"/>
      <c r="AB1176" s="84"/>
      <c r="AD1176" s="83"/>
      <c r="AE1176" s="83"/>
    </row>
    <row r="1177" spans="2:31" x14ac:dyDescent="0.25">
      <c r="B1177" s="82"/>
      <c r="R1177"/>
      <c r="S1177"/>
      <c r="T1177"/>
      <c r="U1177" s="84"/>
      <c r="W1177" s="84"/>
      <c r="X1177" s="84"/>
      <c r="Z1177"/>
      <c r="AB1177" s="84"/>
      <c r="AD1177" s="83"/>
      <c r="AE1177" s="83"/>
    </row>
    <row r="1178" spans="2:31" x14ac:dyDescent="0.25">
      <c r="B1178" s="82"/>
      <c r="R1178"/>
      <c r="S1178"/>
      <c r="T1178"/>
      <c r="U1178" s="84"/>
      <c r="W1178" s="84"/>
      <c r="X1178" s="84"/>
      <c r="Z1178"/>
      <c r="AB1178" s="84"/>
      <c r="AD1178" s="83"/>
      <c r="AE1178" s="83"/>
    </row>
    <row r="1179" spans="2:31" x14ac:dyDescent="0.25">
      <c r="B1179" s="82"/>
      <c r="R1179"/>
      <c r="S1179"/>
      <c r="T1179"/>
      <c r="U1179" s="84"/>
      <c r="W1179" s="84"/>
      <c r="X1179" s="84"/>
      <c r="Z1179"/>
      <c r="AB1179" s="84"/>
      <c r="AD1179" s="83"/>
      <c r="AE1179" s="83"/>
    </row>
    <row r="1180" spans="2:31" x14ac:dyDescent="0.25">
      <c r="B1180" s="82"/>
      <c r="R1180"/>
      <c r="S1180"/>
      <c r="T1180"/>
      <c r="U1180" s="84"/>
      <c r="W1180" s="84"/>
      <c r="X1180" s="84"/>
      <c r="Z1180"/>
      <c r="AB1180" s="84"/>
      <c r="AD1180" s="83"/>
      <c r="AE1180" s="83"/>
    </row>
    <row r="1181" spans="2:31" x14ac:dyDescent="0.25">
      <c r="B1181" s="82"/>
      <c r="R1181"/>
      <c r="S1181"/>
      <c r="T1181"/>
      <c r="U1181" s="84"/>
      <c r="W1181" s="84"/>
      <c r="X1181" s="84"/>
      <c r="Z1181"/>
      <c r="AB1181" s="84"/>
      <c r="AD1181" s="83"/>
      <c r="AE1181" s="83"/>
    </row>
    <row r="1182" spans="2:31" x14ac:dyDescent="0.25">
      <c r="B1182" s="82"/>
      <c r="R1182"/>
      <c r="S1182"/>
      <c r="T1182"/>
      <c r="U1182" s="84"/>
      <c r="W1182" s="84"/>
      <c r="X1182" s="84"/>
      <c r="Z1182"/>
      <c r="AB1182" s="84"/>
      <c r="AD1182" s="83"/>
      <c r="AE1182" s="83"/>
    </row>
    <row r="1183" spans="2:31" x14ac:dyDescent="0.25">
      <c r="B1183" s="82"/>
      <c r="R1183"/>
      <c r="S1183"/>
      <c r="T1183"/>
      <c r="U1183" s="84"/>
      <c r="W1183" s="84"/>
      <c r="X1183" s="84"/>
      <c r="Z1183"/>
      <c r="AB1183" s="84"/>
      <c r="AD1183" s="83"/>
      <c r="AE1183" s="83"/>
    </row>
    <row r="1184" spans="2:31" x14ac:dyDescent="0.25">
      <c r="B1184" s="82"/>
      <c r="R1184"/>
      <c r="S1184"/>
      <c r="T1184"/>
      <c r="U1184" s="84"/>
      <c r="W1184" s="84"/>
      <c r="X1184" s="84"/>
      <c r="Z1184"/>
      <c r="AB1184" s="84"/>
      <c r="AD1184" s="83"/>
      <c r="AE1184" s="83"/>
    </row>
    <row r="1185" spans="2:31" x14ac:dyDescent="0.25">
      <c r="B1185" s="82"/>
      <c r="R1185"/>
      <c r="S1185"/>
      <c r="T1185"/>
      <c r="U1185" s="84"/>
      <c r="W1185" s="84"/>
      <c r="X1185" s="84"/>
      <c r="Z1185"/>
      <c r="AB1185" s="84"/>
      <c r="AD1185" s="83"/>
      <c r="AE1185" s="83"/>
    </row>
    <row r="1186" spans="2:31" x14ac:dyDescent="0.25">
      <c r="B1186" s="82"/>
      <c r="R1186"/>
      <c r="S1186"/>
      <c r="T1186"/>
      <c r="U1186" s="84"/>
      <c r="W1186" s="84"/>
      <c r="X1186" s="84"/>
      <c r="Z1186"/>
      <c r="AB1186" s="84"/>
      <c r="AD1186" s="83"/>
      <c r="AE1186" s="83"/>
    </row>
    <row r="1187" spans="2:31" x14ac:dyDescent="0.25">
      <c r="B1187" s="82"/>
      <c r="R1187"/>
      <c r="S1187"/>
      <c r="T1187"/>
      <c r="U1187" s="84"/>
      <c r="W1187" s="84"/>
      <c r="X1187" s="84"/>
      <c r="Z1187"/>
      <c r="AB1187" s="84"/>
      <c r="AD1187" s="83"/>
      <c r="AE1187" s="83"/>
    </row>
    <row r="1188" spans="2:31" x14ac:dyDescent="0.25">
      <c r="B1188" s="82"/>
      <c r="R1188"/>
      <c r="S1188"/>
      <c r="T1188"/>
      <c r="U1188" s="84"/>
      <c r="W1188" s="84"/>
      <c r="X1188" s="84"/>
      <c r="Z1188"/>
      <c r="AB1188" s="84"/>
      <c r="AD1188" s="83"/>
      <c r="AE1188" s="83"/>
    </row>
    <row r="1189" spans="2:31" x14ac:dyDescent="0.25">
      <c r="B1189" s="82"/>
      <c r="R1189"/>
      <c r="S1189"/>
      <c r="T1189"/>
      <c r="U1189" s="84"/>
      <c r="W1189" s="84"/>
      <c r="X1189" s="84"/>
      <c r="Z1189"/>
      <c r="AB1189" s="84"/>
      <c r="AD1189" s="83"/>
      <c r="AE1189" s="83"/>
    </row>
    <row r="1190" spans="2:31" x14ac:dyDescent="0.25">
      <c r="B1190" s="82"/>
      <c r="R1190"/>
      <c r="S1190"/>
      <c r="T1190"/>
      <c r="U1190" s="84"/>
      <c r="W1190" s="84"/>
      <c r="X1190" s="84"/>
      <c r="Z1190"/>
      <c r="AB1190" s="84"/>
      <c r="AD1190" s="83"/>
      <c r="AE1190" s="83"/>
    </row>
    <row r="1191" spans="2:31" x14ac:dyDescent="0.25">
      <c r="B1191" s="82"/>
      <c r="R1191"/>
      <c r="S1191"/>
      <c r="T1191"/>
      <c r="U1191" s="84"/>
      <c r="W1191" s="84"/>
      <c r="X1191" s="84"/>
      <c r="Z1191"/>
      <c r="AB1191" s="84"/>
      <c r="AD1191" s="83"/>
      <c r="AE1191" s="83"/>
    </row>
    <row r="1192" spans="2:31" x14ac:dyDescent="0.25">
      <c r="B1192" s="82"/>
      <c r="R1192"/>
      <c r="S1192"/>
      <c r="T1192"/>
      <c r="U1192" s="84"/>
      <c r="W1192" s="84"/>
      <c r="X1192" s="84"/>
      <c r="Z1192"/>
      <c r="AB1192" s="84"/>
      <c r="AD1192" s="83"/>
      <c r="AE1192" s="83"/>
    </row>
    <row r="1193" spans="2:31" x14ac:dyDescent="0.25">
      <c r="B1193" s="82"/>
      <c r="R1193"/>
      <c r="S1193"/>
      <c r="T1193"/>
      <c r="U1193" s="84"/>
      <c r="W1193" s="84"/>
      <c r="X1193" s="84"/>
      <c r="Z1193"/>
      <c r="AB1193" s="84"/>
      <c r="AD1193" s="83"/>
      <c r="AE1193" s="83"/>
    </row>
    <row r="1194" spans="2:31" x14ac:dyDescent="0.25">
      <c r="B1194" s="82"/>
      <c r="R1194"/>
      <c r="S1194"/>
      <c r="T1194"/>
      <c r="U1194" s="84"/>
      <c r="W1194" s="84"/>
      <c r="X1194" s="84"/>
      <c r="Z1194"/>
      <c r="AB1194" s="84"/>
      <c r="AD1194" s="83"/>
      <c r="AE1194" s="83"/>
    </row>
    <row r="1195" spans="2:31" x14ac:dyDescent="0.25">
      <c r="B1195" s="82"/>
      <c r="R1195"/>
      <c r="S1195"/>
      <c r="T1195"/>
      <c r="U1195" s="84"/>
      <c r="W1195" s="84"/>
      <c r="X1195" s="84"/>
      <c r="Z1195"/>
      <c r="AB1195" s="84"/>
      <c r="AD1195" s="83"/>
      <c r="AE1195" s="83"/>
    </row>
    <row r="1196" spans="2:31" x14ac:dyDescent="0.25">
      <c r="B1196" s="82"/>
      <c r="R1196"/>
      <c r="S1196"/>
      <c r="T1196"/>
      <c r="U1196" s="84"/>
      <c r="W1196" s="84"/>
      <c r="X1196" s="84"/>
      <c r="Z1196"/>
      <c r="AB1196" s="84"/>
      <c r="AD1196" s="83"/>
      <c r="AE1196" s="83"/>
    </row>
    <row r="1197" spans="2:31" x14ac:dyDescent="0.25">
      <c r="B1197" s="82"/>
      <c r="R1197"/>
      <c r="S1197"/>
      <c r="T1197"/>
      <c r="U1197" s="84"/>
      <c r="W1197" s="84"/>
      <c r="X1197" s="84"/>
      <c r="Z1197"/>
      <c r="AB1197" s="84"/>
      <c r="AD1197" s="83"/>
      <c r="AE1197" s="83"/>
    </row>
    <row r="1198" spans="2:31" x14ac:dyDescent="0.25">
      <c r="B1198" s="82"/>
      <c r="R1198"/>
      <c r="S1198"/>
      <c r="T1198"/>
      <c r="U1198" s="84"/>
      <c r="W1198" s="84"/>
      <c r="X1198" s="84"/>
      <c r="Z1198"/>
      <c r="AB1198" s="84"/>
      <c r="AD1198" s="83"/>
      <c r="AE1198" s="83"/>
    </row>
    <row r="1199" spans="2:31" x14ac:dyDescent="0.25">
      <c r="B1199" s="82"/>
      <c r="R1199"/>
      <c r="S1199"/>
      <c r="T1199"/>
      <c r="U1199" s="84"/>
      <c r="W1199" s="84"/>
      <c r="X1199" s="84"/>
      <c r="Z1199"/>
      <c r="AB1199" s="84"/>
      <c r="AD1199" s="83"/>
      <c r="AE1199" s="83"/>
    </row>
    <row r="1200" spans="2:31" x14ac:dyDescent="0.25">
      <c r="B1200" s="82"/>
      <c r="R1200"/>
      <c r="S1200"/>
      <c r="T1200"/>
      <c r="U1200" s="84"/>
      <c r="W1200" s="84"/>
      <c r="X1200" s="84"/>
      <c r="Z1200"/>
      <c r="AB1200" s="84"/>
      <c r="AD1200" s="83"/>
      <c r="AE1200" s="83"/>
    </row>
    <row r="1201" spans="2:31" x14ac:dyDescent="0.25">
      <c r="B1201" s="82"/>
      <c r="R1201"/>
      <c r="S1201"/>
      <c r="T1201"/>
      <c r="U1201" s="84"/>
      <c r="W1201" s="84"/>
      <c r="X1201" s="84"/>
      <c r="Z1201"/>
      <c r="AB1201" s="84"/>
      <c r="AD1201" s="83"/>
      <c r="AE1201" s="83"/>
    </row>
    <row r="1202" spans="2:31" x14ac:dyDescent="0.25">
      <c r="B1202" s="82"/>
      <c r="R1202"/>
      <c r="S1202"/>
      <c r="T1202"/>
      <c r="U1202" s="84"/>
      <c r="W1202" s="84"/>
      <c r="X1202" s="84"/>
      <c r="Z1202"/>
      <c r="AB1202" s="84"/>
      <c r="AD1202" s="83"/>
      <c r="AE1202" s="83"/>
    </row>
    <row r="1203" spans="2:31" x14ac:dyDescent="0.25">
      <c r="B1203" s="82"/>
      <c r="R1203"/>
      <c r="S1203"/>
      <c r="T1203"/>
      <c r="U1203" s="84"/>
      <c r="W1203" s="84"/>
      <c r="X1203" s="84"/>
      <c r="Z1203"/>
      <c r="AB1203" s="84"/>
      <c r="AD1203" s="83"/>
      <c r="AE1203" s="83"/>
    </row>
    <row r="1204" spans="2:31" x14ac:dyDescent="0.25">
      <c r="B1204" s="82"/>
      <c r="R1204"/>
      <c r="S1204"/>
      <c r="T1204"/>
      <c r="U1204" s="84"/>
      <c r="W1204" s="84"/>
      <c r="X1204" s="84"/>
      <c r="Z1204"/>
      <c r="AB1204" s="84"/>
      <c r="AD1204" s="83"/>
      <c r="AE1204" s="83"/>
    </row>
    <row r="1205" spans="2:31" x14ac:dyDescent="0.25">
      <c r="B1205" s="82"/>
      <c r="R1205"/>
      <c r="S1205"/>
      <c r="T1205"/>
      <c r="U1205" s="84"/>
      <c r="W1205" s="84"/>
      <c r="X1205" s="84"/>
      <c r="Z1205"/>
      <c r="AB1205" s="84"/>
      <c r="AD1205" s="83"/>
      <c r="AE1205" s="83"/>
    </row>
    <row r="1206" spans="2:31" x14ac:dyDescent="0.25">
      <c r="B1206" s="82"/>
      <c r="R1206"/>
      <c r="S1206"/>
      <c r="T1206"/>
      <c r="U1206" s="84"/>
      <c r="W1206" s="84"/>
      <c r="X1206" s="84"/>
      <c r="Z1206"/>
      <c r="AB1206" s="84"/>
      <c r="AD1206" s="83"/>
      <c r="AE1206" s="83"/>
    </row>
    <row r="1207" spans="2:31" x14ac:dyDescent="0.25">
      <c r="B1207" s="82"/>
      <c r="R1207"/>
      <c r="S1207"/>
      <c r="T1207"/>
      <c r="U1207" s="84"/>
      <c r="W1207" s="84"/>
      <c r="X1207" s="84"/>
      <c r="Z1207"/>
      <c r="AB1207" s="84"/>
      <c r="AD1207" s="83"/>
      <c r="AE1207" s="83"/>
    </row>
    <row r="1208" spans="2:31" x14ac:dyDescent="0.25">
      <c r="B1208" s="82"/>
      <c r="R1208"/>
      <c r="S1208"/>
      <c r="T1208"/>
      <c r="U1208" s="84"/>
      <c r="W1208" s="84"/>
      <c r="X1208" s="84"/>
      <c r="Z1208"/>
      <c r="AB1208" s="84"/>
      <c r="AD1208" s="83"/>
      <c r="AE1208" s="83"/>
    </row>
    <row r="1209" spans="2:31" x14ac:dyDescent="0.25">
      <c r="B1209" s="82"/>
      <c r="R1209"/>
      <c r="S1209"/>
      <c r="T1209"/>
      <c r="U1209" s="84"/>
      <c r="W1209" s="84"/>
      <c r="X1209" s="84"/>
      <c r="Z1209"/>
      <c r="AB1209" s="84"/>
      <c r="AD1209" s="83"/>
      <c r="AE1209" s="83"/>
    </row>
    <row r="1210" spans="2:31" x14ac:dyDescent="0.25">
      <c r="B1210" s="82"/>
      <c r="R1210"/>
      <c r="S1210"/>
      <c r="T1210"/>
      <c r="U1210" s="84"/>
      <c r="W1210" s="84"/>
      <c r="X1210" s="84"/>
      <c r="Z1210"/>
      <c r="AB1210" s="84"/>
      <c r="AD1210" s="83"/>
      <c r="AE1210" s="83"/>
    </row>
    <row r="1211" spans="2:31" x14ac:dyDescent="0.25">
      <c r="B1211" s="82"/>
      <c r="R1211"/>
      <c r="S1211"/>
      <c r="T1211"/>
      <c r="U1211" s="84"/>
      <c r="W1211" s="84"/>
      <c r="X1211" s="84"/>
      <c r="Z1211"/>
      <c r="AB1211" s="84"/>
      <c r="AD1211" s="83"/>
      <c r="AE1211" s="83"/>
    </row>
    <row r="1212" spans="2:31" x14ac:dyDescent="0.25">
      <c r="B1212" s="82"/>
      <c r="R1212"/>
      <c r="S1212"/>
      <c r="T1212"/>
      <c r="U1212" s="84"/>
      <c r="W1212" s="84"/>
      <c r="X1212" s="84"/>
      <c r="Z1212"/>
      <c r="AB1212" s="84"/>
      <c r="AD1212" s="83"/>
      <c r="AE1212" s="83"/>
    </row>
    <row r="1213" spans="2:31" x14ac:dyDescent="0.25">
      <c r="B1213" s="82"/>
      <c r="R1213"/>
      <c r="S1213"/>
      <c r="T1213"/>
      <c r="U1213" s="84"/>
      <c r="W1213" s="84"/>
      <c r="X1213" s="84"/>
      <c r="Z1213"/>
      <c r="AB1213" s="84"/>
      <c r="AD1213" s="83"/>
      <c r="AE1213" s="83"/>
    </row>
    <row r="1214" spans="2:31" x14ac:dyDescent="0.25">
      <c r="B1214" s="82"/>
      <c r="R1214"/>
      <c r="S1214"/>
      <c r="T1214"/>
      <c r="U1214" s="84"/>
      <c r="W1214" s="84"/>
      <c r="X1214" s="84"/>
      <c r="Z1214"/>
      <c r="AB1214" s="84"/>
      <c r="AD1214" s="83"/>
      <c r="AE1214" s="83"/>
    </row>
    <row r="1215" spans="2:31" x14ac:dyDescent="0.25">
      <c r="B1215" s="82"/>
      <c r="R1215"/>
      <c r="S1215"/>
      <c r="T1215"/>
      <c r="U1215" s="84"/>
      <c r="W1215" s="84"/>
      <c r="X1215" s="84"/>
      <c r="Z1215"/>
      <c r="AB1215" s="84"/>
      <c r="AD1215" s="83"/>
      <c r="AE1215" s="83"/>
    </row>
    <row r="1216" spans="2:31" x14ac:dyDescent="0.25">
      <c r="B1216" s="82"/>
      <c r="R1216"/>
      <c r="S1216"/>
      <c r="T1216"/>
      <c r="U1216" s="84"/>
      <c r="W1216" s="84"/>
      <c r="X1216" s="84"/>
      <c r="Z1216"/>
      <c r="AB1216" s="84"/>
      <c r="AD1216" s="83"/>
      <c r="AE1216" s="83"/>
    </row>
    <row r="1217" spans="2:31" x14ac:dyDescent="0.25">
      <c r="B1217" s="82"/>
      <c r="R1217"/>
      <c r="S1217"/>
      <c r="T1217"/>
      <c r="U1217" s="84"/>
      <c r="W1217" s="84"/>
      <c r="X1217" s="84"/>
      <c r="Z1217"/>
      <c r="AB1217" s="84"/>
      <c r="AD1217" s="83"/>
      <c r="AE1217" s="83"/>
    </row>
    <row r="1218" spans="2:31" x14ac:dyDescent="0.25">
      <c r="B1218" s="82"/>
      <c r="R1218"/>
      <c r="S1218"/>
      <c r="T1218"/>
      <c r="U1218" s="84"/>
      <c r="W1218" s="84"/>
      <c r="X1218" s="84"/>
      <c r="Z1218"/>
      <c r="AB1218" s="84"/>
      <c r="AD1218" s="83"/>
      <c r="AE1218" s="83"/>
    </row>
    <row r="1219" spans="2:31" x14ac:dyDescent="0.25">
      <c r="B1219" s="82"/>
      <c r="R1219"/>
      <c r="S1219"/>
      <c r="T1219"/>
      <c r="U1219" s="84"/>
      <c r="W1219" s="84"/>
      <c r="X1219" s="84"/>
      <c r="Z1219"/>
      <c r="AB1219" s="84"/>
      <c r="AD1219" s="83"/>
      <c r="AE1219" s="83"/>
    </row>
    <row r="1220" spans="2:31" x14ac:dyDescent="0.25">
      <c r="B1220" s="82"/>
      <c r="R1220"/>
      <c r="S1220"/>
      <c r="T1220"/>
      <c r="U1220" s="84"/>
      <c r="W1220" s="84"/>
      <c r="X1220" s="84"/>
      <c r="Z1220"/>
      <c r="AB1220" s="84"/>
      <c r="AD1220" s="83"/>
      <c r="AE1220" s="83"/>
    </row>
    <row r="1221" spans="2:31" x14ac:dyDescent="0.25">
      <c r="B1221" s="82"/>
      <c r="R1221"/>
      <c r="S1221"/>
      <c r="T1221"/>
      <c r="U1221" s="84"/>
      <c r="W1221" s="84"/>
      <c r="X1221" s="84"/>
      <c r="Z1221"/>
      <c r="AB1221" s="84"/>
      <c r="AD1221" s="83"/>
      <c r="AE1221" s="83"/>
    </row>
    <row r="1222" spans="2:31" x14ac:dyDescent="0.25">
      <c r="B1222" s="82"/>
      <c r="R1222"/>
      <c r="S1222"/>
      <c r="T1222"/>
      <c r="U1222" s="84"/>
      <c r="W1222" s="84"/>
      <c r="X1222" s="84"/>
      <c r="Z1222"/>
      <c r="AB1222" s="84"/>
      <c r="AD1222" s="83"/>
      <c r="AE1222" s="83"/>
    </row>
    <row r="1223" spans="2:31" x14ac:dyDescent="0.25">
      <c r="B1223" s="82"/>
      <c r="R1223"/>
      <c r="S1223"/>
      <c r="T1223"/>
      <c r="U1223" s="84"/>
      <c r="W1223" s="84"/>
      <c r="X1223" s="84"/>
      <c r="Z1223"/>
      <c r="AB1223" s="84"/>
      <c r="AD1223" s="83"/>
      <c r="AE1223" s="83"/>
    </row>
    <row r="1224" spans="2:31" x14ac:dyDescent="0.25">
      <c r="B1224" s="82"/>
      <c r="R1224"/>
      <c r="S1224"/>
      <c r="T1224"/>
      <c r="U1224" s="84"/>
      <c r="W1224" s="84"/>
      <c r="X1224" s="84"/>
      <c r="Z1224"/>
      <c r="AB1224" s="84"/>
      <c r="AD1224" s="83"/>
      <c r="AE1224" s="83"/>
    </row>
    <row r="1225" spans="2:31" x14ac:dyDescent="0.25">
      <c r="B1225" s="82"/>
      <c r="R1225"/>
      <c r="S1225"/>
      <c r="T1225"/>
      <c r="U1225" s="84"/>
      <c r="W1225" s="84"/>
      <c r="X1225" s="84"/>
      <c r="Z1225"/>
      <c r="AB1225" s="84"/>
      <c r="AD1225" s="83"/>
      <c r="AE1225" s="83"/>
    </row>
    <row r="1226" spans="2:31" x14ac:dyDescent="0.25">
      <c r="B1226" s="82"/>
      <c r="R1226"/>
      <c r="S1226"/>
      <c r="T1226"/>
      <c r="U1226" s="84"/>
      <c r="W1226" s="84"/>
      <c r="X1226" s="84"/>
      <c r="Z1226"/>
      <c r="AB1226" s="84"/>
      <c r="AD1226" s="83"/>
      <c r="AE1226" s="83"/>
    </row>
    <row r="1227" spans="2:31" x14ac:dyDescent="0.25">
      <c r="B1227" s="82"/>
      <c r="R1227"/>
      <c r="S1227"/>
      <c r="T1227"/>
      <c r="U1227" s="84"/>
      <c r="W1227" s="84"/>
      <c r="X1227" s="84"/>
      <c r="Z1227"/>
      <c r="AB1227" s="84"/>
      <c r="AD1227" s="83"/>
      <c r="AE1227" s="83"/>
    </row>
    <row r="1228" spans="2:31" x14ac:dyDescent="0.25">
      <c r="B1228" s="82"/>
      <c r="R1228"/>
      <c r="S1228"/>
      <c r="T1228"/>
      <c r="U1228" s="84"/>
      <c r="W1228" s="84"/>
      <c r="X1228" s="84"/>
      <c r="Z1228"/>
      <c r="AB1228" s="84"/>
      <c r="AD1228" s="83"/>
      <c r="AE1228" s="83"/>
    </row>
    <row r="1229" spans="2:31" x14ac:dyDescent="0.25">
      <c r="B1229" s="82"/>
      <c r="R1229"/>
      <c r="S1229"/>
      <c r="T1229"/>
      <c r="U1229" s="84"/>
      <c r="W1229" s="84"/>
      <c r="X1229" s="84"/>
      <c r="Z1229"/>
      <c r="AB1229" s="84"/>
      <c r="AD1229" s="83"/>
      <c r="AE1229" s="83"/>
    </row>
    <row r="1230" spans="2:31" x14ac:dyDescent="0.25">
      <c r="B1230" s="82"/>
      <c r="R1230"/>
      <c r="S1230"/>
      <c r="T1230"/>
      <c r="U1230" s="84"/>
      <c r="W1230" s="84"/>
      <c r="X1230" s="84"/>
      <c r="Z1230"/>
      <c r="AB1230" s="84"/>
      <c r="AD1230" s="83"/>
      <c r="AE1230" s="83"/>
    </row>
    <row r="1231" spans="2:31" x14ac:dyDescent="0.25">
      <c r="B1231" s="82"/>
      <c r="R1231"/>
      <c r="S1231"/>
      <c r="T1231"/>
      <c r="U1231" s="84"/>
      <c r="W1231" s="84"/>
      <c r="X1231" s="84"/>
      <c r="Z1231"/>
      <c r="AB1231" s="84"/>
      <c r="AD1231" s="83"/>
      <c r="AE1231" s="83"/>
    </row>
    <row r="1232" spans="2:31" x14ac:dyDescent="0.25">
      <c r="B1232" s="82"/>
      <c r="R1232"/>
      <c r="S1232"/>
      <c r="T1232"/>
      <c r="U1232" s="84"/>
      <c r="W1232" s="84"/>
      <c r="X1232" s="84"/>
      <c r="Z1232"/>
      <c r="AB1232" s="84"/>
      <c r="AD1232" s="83"/>
      <c r="AE1232" s="83"/>
    </row>
    <row r="1233" spans="2:31" x14ac:dyDescent="0.25">
      <c r="B1233" s="82"/>
      <c r="R1233"/>
      <c r="S1233"/>
      <c r="T1233"/>
      <c r="U1233" s="84"/>
      <c r="W1233" s="84"/>
      <c r="X1233" s="84"/>
      <c r="Z1233"/>
      <c r="AB1233" s="84"/>
      <c r="AD1233" s="83"/>
      <c r="AE1233" s="83"/>
    </row>
    <row r="1234" spans="2:31" x14ac:dyDescent="0.25">
      <c r="B1234" s="82"/>
      <c r="R1234"/>
      <c r="S1234"/>
      <c r="T1234"/>
      <c r="U1234" s="84"/>
      <c r="W1234" s="84"/>
      <c r="X1234" s="84"/>
      <c r="Z1234"/>
      <c r="AB1234" s="84"/>
      <c r="AD1234" s="83"/>
      <c r="AE1234" s="83"/>
    </row>
    <row r="1235" spans="2:31" x14ac:dyDescent="0.25">
      <c r="B1235" s="82"/>
      <c r="R1235"/>
      <c r="S1235"/>
      <c r="T1235"/>
      <c r="U1235" s="84"/>
      <c r="W1235" s="84"/>
      <c r="X1235" s="84"/>
      <c r="Z1235"/>
      <c r="AB1235" s="84"/>
      <c r="AD1235" s="83"/>
      <c r="AE1235" s="83"/>
    </row>
    <row r="1236" spans="2:31" x14ac:dyDescent="0.25">
      <c r="B1236" s="82"/>
      <c r="R1236"/>
      <c r="S1236"/>
      <c r="T1236"/>
      <c r="U1236" s="84"/>
      <c r="W1236" s="84"/>
      <c r="X1236" s="84"/>
      <c r="Z1236"/>
      <c r="AB1236" s="84"/>
      <c r="AD1236" s="83"/>
      <c r="AE1236" s="83"/>
    </row>
    <row r="1237" spans="2:31" x14ac:dyDescent="0.25">
      <c r="B1237" s="82"/>
      <c r="R1237"/>
      <c r="S1237"/>
      <c r="T1237"/>
      <c r="U1237" s="84"/>
      <c r="W1237" s="84"/>
      <c r="X1237" s="84"/>
      <c r="Z1237"/>
      <c r="AB1237" s="84"/>
      <c r="AD1237" s="83"/>
      <c r="AE1237" s="83"/>
    </row>
    <row r="1238" spans="2:31" x14ac:dyDescent="0.25">
      <c r="B1238" s="82"/>
      <c r="R1238"/>
      <c r="S1238"/>
      <c r="T1238"/>
      <c r="U1238" s="84"/>
      <c r="W1238" s="84"/>
      <c r="X1238" s="84"/>
      <c r="Z1238"/>
      <c r="AB1238" s="84"/>
      <c r="AD1238" s="83"/>
      <c r="AE1238" s="83"/>
    </row>
    <row r="1239" spans="2:31" x14ac:dyDescent="0.25">
      <c r="B1239" s="82"/>
      <c r="R1239"/>
      <c r="S1239"/>
      <c r="T1239"/>
      <c r="U1239" s="84"/>
      <c r="W1239" s="84"/>
      <c r="X1239" s="84"/>
      <c r="Z1239"/>
      <c r="AB1239" s="84"/>
      <c r="AD1239" s="83"/>
      <c r="AE1239" s="83"/>
    </row>
    <row r="1240" spans="2:31" x14ac:dyDescent="0.25">
      <c r="B1240" s="82"/>
      <c r="R1240"/>
      <c r="S1240"/>
      <c r="T1240"/>
      <c r="U1240" s="84"/>
      <c r="W1240" s="84"/>
      <c r="X1240" s="84"/>
      <c r="Z1240"/>
      <c r="AB1240" s="84"/>
      <c r="AD1240" s="83"/>
      <c r="AE1240" s="83"/>
    </row>
    <row r="1241" spans="2:31" x14ac:dyDescent="0.25">
      <c r="B1241" s="82"/>
      <c r="R1241"/>
      <c r="S1241"/>
      <c r="T1241"/>
      <c r="U1241" s="84"/>
      <c r="W1241" s="84"/>
      <c r="X1241" s="84"/>
      <c r="Z1241"/>
      <c r="AB1241" s="84"/>
      <c r="AD1241" s="83"/>
      <c r="AE1241" s="83"/>
    </row>
    <row r="1242" spans="2:31" x14ac:dyDescent="0.25">
      <c r="B1242" s="82"/>
      <c r="R1242"/>
      <c r="S1242"/>
      <c r="T1242"/>
      <c r="U1242" s="84"/>
      <c r="W1242" s="84"/>
      <c r="X1242" s="84"/>
      <c r="Z1242"/>
      <c r="AB1242" s="84"/>
      <c r="AD1242" s="83"/>
      <c r="AE1242" s="83"/>
    </row>
    <row r="1243" spans="2:31" x14ac:dyDescent="0.25">
      <c r="B1243" s="82"/>
      <c r="R1243"/>
      <c r="S1243"/>
      <c r="T1243"/>
      <c r="U1243" s="84"/>
      <c r="W1243" s="84"/>
      <c r="X1243" s="84"/>
      <c r="Z1243"/>
      <c r="AB1243" s="84"/>
      <c r="AD1243" s="83"/>
      <c r="AE1243" s="83"/>
    </row>
    <row r="1244" spans="2:31" x14ac:dyDescent="0.25">
      <c r="B1244" s="82"/>
      <c r="R1244"/>
      <c r="S1244"/>
      <c r="T1244"/>
      <c r="U1244" s="84"/>
      <c r="W1244" s="84"/>
      <c r="X1244" s="84"/>
      <c r="Z1244"/>
      <c r="AB1244" s="84"/>
      <c r="AD1244" s="83"/>
      <c r="AE1244" s="83"/>
    </row>
    <row r="1245" spans="2:31" x14ac:dyDescent="0.25">
      <c r="B1245" s="82"/>
      <c r="R1245"/>
      <c r="S1245"/>
      <c r="T1245"/>
      <c r="U1245" s="84"/>
      <c r="W1245" s="84"/>
      <c r="X1245" s="84"/>
      <c r="Z1245"/>
      <c r="AB1245" s="84"/>
      <c r="AD1245" s="83"/>
      <c r="AE1245" s="83"/>
    </row>
    <row r="1246" spans="2:31" x14ac:dyDescent="0.25">
      <c r="B1246" s="82"/>
      <c r="R1246"/>
      <c r="S1246"/>
      <c r="T1246"/>
      <c r="U1246" s="84"/>
      <c r="W1246" s="84"/>
      <c r="X1246" s="84"/>
      <c r="Z1246"/>
      <c r="AB1246" s="84"/>
      <c r="AD1246" s="83"/>
      <c r="AE1246" s="83"/>
    </row>
    <row r="1247" spans="2:31" x14ac:dyDescent="0.25">
      <c r="B1247" s="82"/>
      <c r="R1247"/>
      <c r="S1247"/>
      <c r="T1247"/>
      <c r="U1247" s="84"/>
      <c r="W1247" s="84"/>
      <c r="X1247" s="84"/>
      <c r="Z1247"/>
      <c r="AB1247" s="84"/>
      <c r="AD1247" s="83"/>
      <c r="AE1247" s="83"/>
    </row>
    <row r="1248" spans="2:31" x14ac:dyDescent="0.25">
      <c r="B1248" s="82"/>
      <c r="R1248"/>
      <c r="S1248"/>
      <c r="T1248"/>
      <c r="U1248" s="84"/>
      <c r="W1248" s="84"/>
      <c r="X1248" s="84"/>
      <c r="Z1248"/>
      <c r="AB1248" s="84"/>
      <c r="AD1248" s="83"/>
      <c r="AE1248" s="83"/>
    </row>
  </sheetData>
  <sortState ref="A2:AE11">
    <sortCondition ref="G2:G11"/>
  </sortState>
  <conditionalFormatting sqref="T1 T229:T1048576">
    <cfRule type="cellIs" dxfId="54" priority="348" operator="lessThan">
      <formula>14</formula>
    </cfRule>
    <cfRule type="cellIs" dxfId="53" priority="349" operator="greaterThan">
      <formula>14</formula>
    </cfRule>
  </conditionalFormatting>
  <conditionalFormatting sqref="A501 A504 A507 A510 A513 A516 A519 A522 A525 A528 A531 A534 A537 A540 A543 A546 A549 A552 A555 A558 A561 A564 A567 A570 A573 A576 A579 A582 A585 A588 A591 A594 A597 A600 A603 A606 A609 A612 A615 A618 A621 A624 A627 A630 A633 A636 A639 A642 A645 A648 A651 A654 A657 A660 A663 A666 A669 A672 A675 A678 A681 A684 A687 A690 A693 A696 A699 A702 A705 A708 A711 A714 A717 A720 A723 A726 A729 A732 A735 A738 A741 A744 A747 A750 A753 A756 A759 A762 A765 A768 A771 A774 A777 A780 A783 A786 A789 A792 A795 A798 A801 A804 A807 A810 A813 A816 A819 A822 A825 A828 A831 A834 A837 A840 A843 A846 A849 A852 A855 A858 A861 A864 A867 A870 A873 A876 A879 A882 A885 A888 A891 A894 A897 A900 A903 A906 A909 A912 A915 A918 A921 A924 A927 A930 A933 A936 A939 A942 A945 A948 A951 A954 A957 A960 A963 A966 A969 A972 A975 A978 A981 A984 A987 A990 A993 A996 A999 A1002 A1005 A1008 A1011 A1014 A1017 A1020 A1023 A1026 A1029 A1032 A1035 A1038 A1041 A1044 A1047 A1050 A1053 A1056 A1059 A1062 A1065 A1068 A1071 A1074 A1077 A1080 A1083 A1086 A1089 A1092 A1095 A1098 A1101 A1104 A1107 A1110 A1113 A1116 A1119 A1122 A1125 A1128 A1131 A1134 A1137 A1140 A1143 A1146 A1149 A1152 A1155 A1158 A1161 A1164 A1167 A1170 A1173 A1176 A1179 A1182 A1185 A1188 A1191 A1194 A1197 A1200 A1203 A1206 A1209 A1212 A1215 A1218 A1221 A1224 A1227 A1230 A1233 A1236 A1239 A1242 A1245 A1248">
    <cfRule type="duplicateValues" dxfId="52" priority="336"/>
  </conditionalFormatting>
  <conditionalFormatting sqref="B229:B1048576 B1">
    <cfRule type="duplicateValues" dxfId="51" priority="966"/>
  </conditionalFormatting>
  <conditionalFormatting sqref="B177:B228">
    <cfRule type="duplicateValues" dxfId="50" priority="1221"/>
  </conditionalFormatting>
  <conditionalFormatting sqref="B177:B228">
    <cfRule type="duplicateValues" dxfId="49" priority="1222"/>
    <cfRule type="duplicateValues" dxfId="48" priority="1223"/>
  </conditionalFormatting>
  <conditionalFormatting sqref="B177:C228">
    <cfRule type="duplicateValues" dxfId="47" priority="1227"/>
  </conditionalFormatting>
  <conditionalFormatting sqref="B105:B176">
    <cfRule type="duplicateValues" dxfId="46" priority="121"/>
  </conditionalFormatting>
  <conditionalFormatting sqref="B105:C176">
    <cfRule type="duplicateValues" dxfId="45" priority="122"/>
  </conditionalFormatting>
  <conditionalFormatting sqref="B105:B176">
    <cfRule type="duplicateValues" dxfId="44" priority="123"/>
  </conditionalFormatting>
  <conditionalFormatting sqref="B105:B176">
    <cfRule type="duplicateValues" dxfId="43" priority="124"/>
    <cfRule type="duplicateValues" dxfId="42" priority="125"/>
  </conditionalFormatting>
  <conditionalFormatting sqref="B104">
    <cfRule type="duplicateValues" dxfId="41" priority="76"/>
  </conditionalFormatting>
  <conditionalFormatting sqref="B104:C104">
    <cfRule type="duplicateValues" dxfId="40" priority="77"/>
  </conditionalFormatting>
  <conditionalFormatting sqref="B104">
    <cfRule type="duplicateValues" dxfId="39" priority="78"/>
  </conditionalFormatting>
  <conditionalFormatting sqref="B104">
    <cfRule type="duplicateValues" dxfId="38" priority="79"/>
    <cfRule type="duplicateValues" dxfId="37" priority="80"/>
  </conditionalFormatting>
  <conditionalFormatting sqref="B99:B103">
    <cfRule type="duplicateValues" dxfId="36" priority="51"/>
  </conditionalFormatting>
  <conditionalFormatting sqref="B99:C103">
    <cfRule type="duplicateValues" dxfId="35" priority="52"/>
  </conditionalFormatting>
  <conditionalFormatting sqref="B99:B103">
    <cfRule type="duplicateValues" dxfId="34" priority="53"/>
  </conditionalFormatting>
  <conditionalFormatting sqref="B99:B103">
    <cfRule type="duplicateValues" dxfId="33" priority="54"/>
    <cfRule type="duplicateValues" dxfId="32" priority="55"/>
  </conditionalFormatting>
  <conditionalFormatting sqref="B3:B98">
    <cfRule type="duplicateValues" dxfId="31" priority="6"/>
  </conditionalFormatting>
  <conditionalFormatting sqref="B3:C98">
    <cfRule type="duplicateValues" dxfId="30" priority="7"/>
  </conditionalFormatting>
  <conditionalFormatting sqref="B3:B98">
    <cfRule type="duplicateValues" dxfId="29" priority="8"/>
  </conditionalFormatting>
  <conditionalFormatting sqref="B3:B98">
    <cfRule type="duplicateValues" dxfId="28" priority="9"/>
    <cfRule type="duplicateValues" dxfId="27" priority="10"/>
  </conditionalFormatting>
  <conditionalFormatting sqref="B2">
    <cfRule type="duplicateValues" dxfId="26" priority="1"/>
  </conditionalFormatting>
  <conditionalFormatting sqref="B2:C2">
    <cfRule type="duplicateValues" dxfId="25" priority="2"/>
  </conditionalFormatting>
  <conditionalFormatting sqref="B2">
    <cfRule type="duplicateValues" dxfId="24" priority="3"/>
  </conditionalFormatting>
  <conditionalFormatting sqref="B2">
    <cfRule type="duplicateValues" dxfId="23" priority="4"/>
    <cfRule type="duplicateValues" dxfId="22" priority="5"/>
  </conditionalFormatting>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5"/>
  <sheetViews>
    <sheetView workbookViewId="0">
      <selection activeCell="A2" sqref="A2:XFD8"/>
    </sheetView>
  </sheetViews>
  <sheetFormatPr defaultRowHeight="15" x14ac:dyDescent="0.25"/>
  <cols>
    <col min="1" max="1" width="5.5703125" customWidth="1"/>
    <col min="2" max="2" width="18.7109375" customWidth="1"/>
    <col min="3" max="3" width="16.28515625" customWidth="1"/>
    <col min="4" max="4" width="11.42578125" customWidth="1"/>
    <col min="5" max="5" width="22.5703125" customWidth="1"/>
    <col min="6" max="6" width="40.140625" customWidth="1"/>
    <col min="9" max="9" width="14.5703125" customWidth="1"/>
    <col min="17" max="17" width="20.140625" customWidth="1"/>
    <col min="18" max="18" width="13.140625" customWidth="1"/>
    <col min="19" max="19" width="14.85546875" customWidth="1"/>
    <col min="23" max="23" width="11.85546875" customWidth="1"/>
    <col min="25" max="25" width="22.42578125" customWidth="1"/>
    <col min="26" max="26" width="20.42578125" customWidth="1"/>
    <col min="27" max="27" width="15.28515625" customWidth="1"/>
    <col min="28" max="28" width="14.28515625" customWidth="1"/>
    <col min="29" max="29" width="11.5703125" customWidth="1"/>
    <col min="30" max="31" width="13.5703125" customWidth="1"/>
    <col min="32" max="32" width="14.42578125" customWidth="1"/>
  </cols>
  <sheetData>
    <row r="1" spans="1:32" x14ac:dyDescent="0.25">
      <c r="A1" t="s">
        <v>1</v>
      </c>
      <c r="B1" s="82" t="s">
        <v>442</v>
      </c>
      <c r="C1" t="s">
        <v>431</v>
      </c>
      <c r="D1" t="s">
        <v>463</v>
      </c>
      <c r="E1" t="s">
        <v>432</v>
      </c>
      <c r="F1" t="s">
        <v>2</v>
      </c>
      <c r="G1" t="s">
        <v>433</v>
      </c>
      <c r="H1" t="s">
        <v>465</v>
      </c>
      <c r="I1" t="s">
        <v>466</v>
      </c>
      <c r="J1" t="s">
        <v>434</v>
      </c>
      <c r="K1" t="s">
        <v>435</v>
      </c>
      <c r="L1" t="s">
        <v>436</v>
      </c>
      <c r="M1" t="s">
        <v>437</v>
      </c>
      <c r="N1" t="s">
        <v>443</v>
      </c>
      <c r="O1" t="s">
        <v>444</v>
      </c>
      <c r="P1" t="s">
        <v>445</v>
      </c>
      <c r="Q1" t="s">
        <v>446</v>
      </c>
      <c r="R1" t="s">
        <v>447</v>
      </c>
      <c r="S1" t="s">
        <v>448</v>
      </c>
      <c r="T1" t="s">
        <v>449</v>
      </c>
      <c r="U1" s="84" t="s">
        <v>450</v>
      </c>
      <c r="V1" t="s">
        <v>451</v>
      </c>
      <c r="W1" s="84" t="s">
        <v>452</v>
      </c>
      <c r="X1" s="84" t="s">
        <v>453</v>
      </c>
      <c r="Y1" t="s">
        <v>438</v>
      </c>
      <c r="Z1" t="s">
        <v>454</v>
      </c>
      <c r="AA1" s="83" t="s">
        <v>455</v>
      </c>
      <c r="AB1" s="83" t="s">
        <v>456</v>
      </c>
    </row>
    <row r="2" spans="1:32" x14ac:dyDescent="0.25">
      <c r="B2" s="82"/>
      <c r="U2" s="84"/>
      <c r="W2" s="84"/>
      <c r="X2" s="84"/>
      <c r="AB2" s="84"/>
      <c r="AD2" s="83"/>
      <c r="AE2" s="83"/>
      <c r="AF2" s="26"/>
    </row>
    <row r="3" spans="1:32" x14ac:dyDescent="0.25">
      <c r="B3" s="82"/>
      <c r="U3" s="84"/>
      <c r="W3" s="84"/>
      <c r="X3" s="84"/>
      <c r="AB3" s="84"/>
      <c r="AD3" s="83"/>
      <c r="AE3" s="83"/>
      <c r="AF3" s="26"/>
    </row>
    <row r="4" spans="1:32" x14ac:dyDescent="0.25">
      <c r="B4" s="82"/>
      <c r="U4" s="84"/>
      <c r="W4" s="84"/>
      <c r="X4" s="84"/>
      <c r="AB4" s="84"/>
      <c r="AD4" s="83"/>
      <c r="AE4" s="83"/>
      <c r="AF4" s="26"/>
    </row>
    <row r="5" spans="1:32" x14ac:dyDescent="0.25">
      <c r="B5" s="82"/>
      <c r="U5" s="84"/>
      <c r="W5" s="84"/>
      <c r="X5" s="84"/>
      <c r="AB5" s="84"/>
      <c r="AD5" s="83"/>
      <c r="AE5" s="83"/>
      <c r="AF5" s="26"/>
    </row>
    <row r="6" spans="1:32" x14ac:dyDescent="0.25">
      <c r="B6" s="82"/>
      <c r="U6" s="84"/>
      <c r="W6" s="84"/>
      <c r="X6" s="84"/>
      <c r="AB6" s="84"/>
      <c r="AD6" s="83"/>
      <c r="AE6" s="83"/>
      <c r="AF6" s="26"/>
    </row>
    <row r="7" spans="1:32" x14ac:dyDescent="0.25">
      <c r="B7" s="82"/>
      <c r="U7" s="84"/>
      <c r="W7" s="84"/>
      <c r="X7" s="84"/>
      <c r="AB7" s="84"/>
      <c r="AD7" s="83"/>
      <c r="AE7" s="83"/>
      <c r="AF7" s="26"/>
    </row>
    <row r="8" spans="1:32" x14ac:dyDescent="0.25">
      <c r="B8" s="82"/>
      <c r="U8" s="84"/>
      <c r="W8" s="84"/>
      <c r="X8" s="84"/>
      <c r="AB8" s="84"/>
      <c r="AD8" s="83"/>
      <c r="AE8" s="83"/>
      <c r="AF8" s="26"/>
    </row>
    <row r="9" spans="1:32" x14ac:dyDescent="0.25">
      <c r="B9" s="82"/>
      <c r="U9" s="84"/>
      <c r="W9" s="84"/>
      <c r="X9" s="84"/>
      <c r="AB9" s="84"/>
      <c r="AD9" s="83"/>
      <c r="AE9" s="83"/>
      <c r="AF9" s="26"/>
    </row>
    <row r="10" spans="1:32" x14ac:dyDescent="0.25">
      <c r="B10" s="82"/>
      <c r="U10" s="84"/>
      <c r="W10" s="84"/>
      <c r="X10" s="84"/>
      <c r="AB10" s="84"/>
      <c r="AD10" s="83"/>
      <c r="AE10" s="83"/>
      <c r="AF10" s="26"/>
    </row>
    <row r="11" spans="1:32" x14ac:dyDescent="0.25">
      <c r="B11" s="82"/>
      <c r="U11" s="84"/>
      <c r="W11" s="84"/>
      <c r="X11" s="84"/>
      <c r="AB11" s="84"/>
      <c r="AD11" s="83"/>
      <c r="AE11" s="83"/>
      <c r="AF11" s="26"/>
    </row>
    <row r="12" spans="1:32" x14ac:dyDescent="0.25">
      <c r="B12" s="82"/>
      <c r="U12" s="84"/>
      <c r="W12" s="84"/>
      <c r="X12" s="84"/>
      <c r="AB12" s="84"/>
      <c r="AD12" s="83"/>
      <c r="AE12" s="83"/>
      <c r="AF12" s="26"/>
    </row>
    <row r="13" spans="1:32" x14ac:dyDescent="0.25">
      <c r="B13" s="82"/>
      <c r="U13" s="84"/>
      <c r="W13" s="84"/>
      <c r="X13" s="84"/>
      <c r="AB13" s="84"/>
      <c r="AD13" s="83"/>
      <c r="AE13" s="83"/>
      <c r="AF13" s="26"/>
    </row>
    <row r="14" spans="1:32" x14ac:dyDescent="0.25">
      <c r="B14" s="82"/>
      <c r="U14" s="84"/>
      <c r="W14" s="84"/>
      <c r="X14" s="84"/>
      <c r="AB14" s="84"/>
      <c r="AD14" s="83"/>
      <c r="AE14" s="83"/>
      <c r="AF14" s="26"/>
    </row>
    <row r="15" spans="1:32" x14ac:dyDescent="0.25">
      <c r="B15" s="82"/>
      <c r="U15" s="84"/>
      <c r="W15" s="84"/>
      <c r="X15" s="84"/>
      <c r="AB15" s="84"/>
      <c r="AD15" s="83"/>
      <c r="AE15" s="83"/>
      <c r="AF15" s="26"/>
    </row>
    <row r="16" spans="1:32" x14ac:dyDescent="0.25">
      <c r="B16" s="82"/>
      <c r="U16" s="84"/>
      <c r="W16" s="84"/>
      <c r="X16" s="84"/>
      <c r="AB16" s="84"/>
      <c r="AD16" s="83"/>
      <c r="AE16" s="83"/>
      <c r="AF16" s="26"/>
    </row>
    <row r="17" spans="2:32" x14ac:dyDescent="0.25">
      <c r="B17" s="82"/>
      <c r="U17" s="84"/>
      <c r="W17" s="84"/>
      <c r="X17" s="84"/>
      <c r="AB17" s="84"/>
      <c r="AD17" s="83"/>
      <c r="AE17" s="83"/>
      <c r="AF17" s="26"/>
    </row>
    <row r="18" spans="2:32" x14ac:dyDescent="0.25">
      <c r="B18" s="82"/>
      <c r="U18" s="84"/>
      <c r="W18" s="84"/>
      <c r="X18" s="84"/>
      <c r="AB18" s="84"/>
      <c r="AD18" s="83"/>
      <c r="AE18" s="83"/>
      <c r="AF18" s="26"/>
    </row>
    <row r="19" spans="2:32" x14ac:dyDescent="0.25">
      <c r="B19" s="82"/>
      <c r="U19" s="84"/>
      <c r="W19" s="84"/>
      <c r="X19" s="84"/>
      <c r="AB19" s="84"/>
      <c r="AD19" s="83"/>
      <c r="AE19" s="83"/>
      <c r="AF19" s="26"/>
    </row>
    <row r="20" spans="2:32" x14ac:dyDescent="0.25">
      <c r="B20" s="82"/>
      <c r="U20" s="84"/>
      <c r="W20" s="84"/>
      <c r="X20" s="84"/>
      <c r="AB20" s="84"/>
      <c r="AD20" s="83"/>
      <c r="AE20" s="83"/>
      <c r="AF20" s="26"/>
    </row>
    <row r="21" spans="2:32" x14ac:dyDescent="0.25">
      <c r="B21" s="82"/>
      <c r="U21" s="84"/>
      <c r="W21" s="84"/>
      <c r="X21" s="84"/>
      <c r="AB21" s="84"/>
      <c r="AD21" s="83"/>
      <c r="AE21" s="83"/>
      <c r="AF21" s="26"/>
    </row>
    <row r="22" spans="2:32" x14ac:dyDescent="0.25">
      <c r="B22" s="82"/>
      <c r="U22" s="84"/>
      <c r="W22" s="84"/>
      <c r="X22" s="84"/>
      <c r="AB22" s="84"/>
      <c r="AD22" s="83"/>
      <c r="AE22" s="83"/>
      <c r="AF22" s="26"/>
    </row>
    <row r="23" spans="2:32" x14ac:dyDescent="0.25">
      <c r="B23" s="82"/>
      <c r="U23" s="84"/>
      <c r="W23" s="84"/>
      <c r="X23" s="84"/>
      <c r="AB23" s="84"/>
      <c r="AD23" s="83"/>
      <c r="AE23" s="83"/>
      <c r="AF23" s="26"/>
    </row>
    <row r="24" spans="2:32" x14ac:dyDescent="0.25">
      <c r="B24" s="82"/>
      <c r="U24" s="84"/>
      <c r="W24" s="84"/>
      <c r="X24" s="84"/>
      <c r="AB24" s="84"/>
      <c r="AD24" s="83"/>
      <c r="AE24" s="83"/>
      <c r="AF24" s="26"/>
    </row>
    <row r="25" spans="2:32" x14ac:dyDescent="0.25">
      <c r="B25" s="82"/>
      <c r="U25" s="84"/>
      <c r="W25" s="84"/>
      <c r="X25" s="84"/>
      <c r="AB25" s="84"/>
      <c r="AD25" s="83"/>
      <c r="AE25" s="83"/>
      <c r="AF25" s="26"/>
    </row>
    <row r="26" spans="2:32" x14ac:dyDescent="0.25">
      <c r="B26" s="82"/>
      <c r="U26" s="84"/>
      <c r="W26" s="84"/>
      <c r="X26" s="84"/>
      <c r="AB26" s="84"/>
      <c r="AD26" s="83"/>
      <c r="AE26" s="83"/>
      <c r="AF26" s="26"/>
    </row>
    <row r="27" spans="2:32" x14ac:dyDescent="0.25">
      <c r="B27" s="82"/>
      <c r="U27" s="84"/>
      <c r="W27" s="84"/>
      <c r="X27" s="84"/>
      <c r="AB27" s="84"/>
      <c r="AD27" s="83"/>
      <c r="AE27" s="83"/>
      <c r="AF27" s="26"/>
    </row>
    <row r="28" spans="2:32" x14ac:dyDescent="0.25">
      <c r="B28" s="82"/>
      <c r="U28" s="84"/>
      <c r="W28" s="84"/>
      <c r="X28" s="84"/>
      <c r="AB28" s="84"/>
      <c r="AD28" s="83"/>
      <c r="AE28" s="83"/>
      <c r="AF28" s="26"/>
    </row>
    <row r="29" spans="2:32" x14ac:dyDescent="0.25">
      <c r="B29" s="82"/>
      <c r="U29" s="84"/>
      <c r="W29" s="84"/>
      <c r="X29" s="84"/>
      <c r="AB29" s="84"/>
      <c r="AD29" s="83"/>
      <c r="AE29" s="83"/>
      <c r="AF29" s="26"/>
    </row>
    <row r="30" spans="2:32" x14ac:dyDescent="0.25">
      <c r="B30" s="82"/>
      <c r="U30" s="84"/>
      <c r="W30" s="84"/>
      <c r="X30" s="84"/>
      <c r="AB30" s="84"/>
      <c r="AD30" s="83"/>
      <c r="AE30" s="83"/>
      <c r="AF30" s="26"/>
    </row>
    <row r="31" spans="2:32" x14ac:dyDescent="0.25">
      <c r="B31" s="82"/>
      <c r="U31" s="84"/>
      <c r="W31" s="84"/>
      <c r="X31" s="84"/>
      <c r="AB31" s="84"/>
      <c r="AD31" s="83"/>
      <c r="AE31" s="83"/>
      <c r="AF31" s="26"/>
    </row>
    <row r="32" spans="2:32" x14ac:dyDescent="0.25">
      <c r="B32" s="82"/>
      <c r="U32" s="84"/>
      <c r="W32" s="84"/>
      <c r="X32" s="84"/>
      <c r="AB32" s="84"/>
      <c r="AD32" s="83"/>
      <c r="AE32" s="83"/>
      <c r="AF32" s="26"/>
    </row>
    <row r="33" spans="2:32" x14ac:dyDescent="0.25">
      <c r="B33" s="82"/>
      <c r="U33" s="84"/>
      <c r="W33" s="84"/>
      <c r="X33" s="84"/>
      <c r="AB33" s="84"/>
      <c r="AD33" s="83"/>
      <c r="AE33" s="83"/>
      <c r="AF33" s="26"/>
    </row>
    <row r="34" spans="2:32" x14ac:dyDescent="0.25">
      <c r="B34" s="82"/>
      <c r="U34" s="84"/>
      <c r="W34" s="84"/>
      <c r="X34" s="84"/>
      <c r="AB34" s="84"/>
      <c r="AD34" s="83"/>
      <c r="AE34" s="83"/>
      <c r="AF34" s="26"/>
    </row>
    <row r="35" spans="2:32" x14ac:dyDescent="0.25">
      <c r="B35" s="82"/>
      <c r="U35" s="84"/>
      <c r="W35" s="84"/>
      <c r="X35" s="84"/>
      <c r="AB35" s="84"/>
      <c r="AD35" s="83"/>
      <c r="AE35" s="83"/>
      <c r="AF35" s="26"/>
    </row>
    <row r="36" spans="2:32" x14ac:dyDescent="0.25">
      <c r="B36" s="82"/>
      <c r="U36" s="84"/>
      <c r="W36" s="84"/>
      <c r="X36" s="84"/>
      <c r="AB36" s="84"/>
      <c r="AD36" s="83"/>
      <c r="AE36" s="83"/>
      <c r="AF36" s="26"/>
    </row>
    <row r="37" spans="2:32" x14ac:dyDescent="0.25">
      <c r="B37" s="82"/>
      <c r="U37" s="84"/>
      <c r="W37" s="84"/>
      <c r="X37" s="84"/>
      <c r="AB37" s="84"/>
      <c r="AD37" s="83"/>
      <c r="AE37" s="83"/>
      <c r="AF37" s="26"/>
    </row>
    <row r="38" spans="2:32" x14ac:dyDescent="0.25">
      <c r="B38" s="82"/>
      <c r="U38" s="84"/>
      <c r="W38" s="84"/>
      <c r="X38" s="84"/>
      <c r="AB38" s="84"/>
      <c r="AD38" s="83"/>
      <c r="AE38" s="83"/>
      <c r="AF38" s="26"/>
    </row>
    <row r="39" spans="2:32" x14ac:dyDescent="0.25">
      <c r="B39" s="82"/>
      <c r="U39" s="84"/>
      <c r="W39" s="84"/>
      <c r="X39" s="84"/>
      <c r="AB39" s="84"/>
      <c r="AD39" s="83"/>
      <c r="AE39" s="83"/>
      <c r="AF39" s="26"/>
    </row>
    <row r="40" spans="2:32" x14ac:dyDescent="0.25">
      <c r="B40" s="82"/>
      <c r="U40" s="84"/>
      <c r="W40" s="84"/>
      <c r="X40" s="84"/>
      <c r="AB40" s="84"/>
      <c r="AD40" s="83"/>
      <c r="AE40" s="83"/>
      <c r="AF40" s="26"/>
    </row>
    <row r="41" spans="2:32" x14ac:dyDescent="0.25">
      <c r="B41" s="82"/>
      <c r="U41" s="84"/>
      <c r="W41" s="84"/>
      <c r="X41" s="84"/>
      <c r="AB41" s="84"/>
      <c r="AD41" s="83"/>
      <c r="AE41" s="83"/>
      <c r="AF41" s="26"/>
    </row>
    <row r="42" spans="2:32" x14ac:dyDescent="0.25">
      <c r="B42" s="82"/>
      <c r="U42" s="84"/>
      <c r="W42" s="84"/>
      <c r="X42" s="84"/>
      <c r="AB42" s="84"/>
      <c r="AD42" s="83"/>
      <c r="AE42" s="83"/>
      <c r="AF42" s="26"/>
    </row>
    <row r="43" spans="2:32" x14ac:dyDescent="0.25">
      <c r="B43" s="82"/>
      <c r="U43" s="84"/>
      <c r="W43" s="84"/>
      <c r="X43" s="84"/>
      <c r="AB43" s="84"/>
      <c r="AD43" s="83"/>
      <c r="AE43" s="83"/>
      <c r="AF43" s="26"/>
    </row>
    <row r="44" spans="2:32" x14ac:dyDescent="0.25">
      <c r="B44" s="82"/>
      <c r="U44" s="84"/>
      <c r="W44" s="84"/>
      <c r="X44" s="84"/>
      <c r="AB44" s="84"/>
      <c r="AD44" s="83"/>
      <c r="AE44" s="83"/>
      <c r="AF44" s="26"/>
    </row>
    <row r="45" spans="2:32" x14ac:dyDescent="0.25">
      <c r="B45" s="82"/>
      <c r="U45" s="84"/>
      <c r="W45" s="84"/>
      <c r="X45" s="84"/>
      <c r="AB45" s="84"/>
      <c r="AD45" s="83"/>
      <c r="AE45" s="83"/>
      <c r="AF45" s="26"/>
    </row>
    <row r="46" spans="2:32" x14ac:dyDescent="0.25">
      <c r="B46" s="82"/>
      <c r="U46" s="84"/>
      <c r="W46" s="84"/>
      <c r="X46" s="84"/>
      <c r="AB46" s="84"/>
      <c r="AD46" s="83"/>
      <c r="AE46" s="83"/>
      <c r="AF46" s="26"/>
    </row>
    <row r="47" spans="2:32" x14ac:dyDescent="0.25">
      <c r="B47" s="82"/>
      <c r="U47" s="84"/>
      <c r="W47" s="84"/>
      <c r="X47" s="84"/>
      <c r="AB47" s="84"/>
      <c r="AD47" s="83"/>
      <c r="AE47" s="83"/>
      <c r="AF47" s="26"/>
    </row>
    <row r="48" spans="2:32" x14ac:dyDescent="0.25">
      <c r="B48" s="82"/>
      <c r="U48" s="84"/>
      <c r="W48" s="84"/>
      <c r="X48" s="84"/>
      <c r="AB48" s="84"/>
      <c r="AD48" s="83"/>
      <c r="AE48" s="83"/>
      <c r="AF48" s="26"/>
    </row>
    <row r="49" spans="2:32" x14ac:dyDescent="0.25">
      <c r="B49" s="82"/>
      <c r="U49" s="84"/>
      <c r="W49" s="84"/>
      <c r="X49" s="84"/>
      <c r="AB49" s="84"/>
      <c r="AD49" s="83"/>
      <c r="AE49" s="83"/>
      <c r="AF49" s="26"/>
    </row>
    <row r="50" spans="2:32" x14ac:dyDescent="0.25">
      <c r="B50" s="82"/>
      <c r="U50" s="84"/>
      <c r="W50" s="84"/>
      <c r="X50" s="84"/>
      <c r="AB50" s="84"/>
      <c r="AD50" s="83"/>
      <c r="AE50" s="83"/>
      <c r="AF50" s="26"/>
    </row>
    <row r="51" spans="2:32" x14ac:dyDescent="0.25">
      <c r="B51" s="82"/>
      <c r="U51" s="84"/>
      <c r="W51" s="84"/>
      <c r="X51" s="84"/>
      <c r="AB51" s="84"/>
      <c r="AD51" s="83"/>
      <c r="AE51" s="83"/>
      <c r="AF51" s="26"/>
    </row>
    <row r="52" spans="2:32" x14ac:dyDescent="0.25">
      <c r="B52" s="82"/>
      <c r="U52" s="84"/>
      <c r="W52" s="84"/>
      <c r="X52" s="84"/>
      <c r="AB52" s="84"/>
      <c r="AD52" s="83"/>
      <c r="AE52" s="83"/>
      <c r="AF52" s="26"/>
    </row>
    <row r="53" spans="2:32" x14ac:dyDescent="0.25">
      <c r="B53" s="82"/>
      <c r="U53" s="84"/>
      <c r="W53" s="84"/>
      <c r="X53" s="84"/>
      <c r="AB53" s="84"/>
      <c r="AD53" s="83"/>
      <c r="AE53" s="83"/>
      <c r="AF53" s="26"/>
    </row>
    <row r="54" spans="2:32" x14ac:dyDescent="0.25">
      <c r="B54" s="82"/>
      <c r="U54" s="84"/>
      <c r="W54" s="84"/>
      <c r="X54" s="84"/>
      <c r="AB54" s="84"/>
      <c r="AD54" s="83"/>
      <c r="AE54" s="83"/>
      <c r="AF54" s="26"/>
    </row>
    <row r="55" spans="2:32" x14ac:dyDescent="0.25">
      <c r="B55" s="82"/>
      <c r="U55" s="84"/>
      <c r="W55" s="84"/>
      <c r="X55" s="84"/>
      <c r="AB55" s="84"/>
      <c r="AD55" s="83"/>
      <c r="AE55" s="83"/>
      <c r="AF55" s="26"/>
    </row>
    <row r="56" spans="2:32" x14ac:dyDescent="0.25">
      <c r="B56" s="82"/>
      <c r="U56" s="84"/>
      <c r="W56" s="84"/>
      <c r="X56" s="84"/>
      <c r="AB56" s="84"/>
      <c r="AD56" s="83"/>
      <c r="AE56" s="83"/>
      <c r="AF56" s="26"/>
    </row>
    <row r="57" spans="2:32" x14ac:dyDescent="0.25">
      <c r="B57" s="82"/>
      <c r="U57" s="84"/>
      <c r="W57" s="84"/>
      <c r="X57" s="84"/>
      <c r="AB57" s="84"/>
      <c r="AD57" s="83"/>
      <c r="AE57" s="83"/>
      <c r="AF57" s="26"/>
    </row>
    <row r="58" spans="2:32" x14ac:dyDescent="0.25">
      <c r="B58" s="82"/>
      <c r="U58" s="84"/>
      <c r="W58" s="84"/>
      <c r="X58" s="84"/>
      <c r="AB58" s="84"/>
      <c r="AD58" s="83"/>
      <c r="AE58" s="83"/>
      <c r="AF58" s="26"/>
    </row>
    <row r="59" spans="2:32" x14ac:dyDescent="0.25">
      <c r="B59" s="82"/>
      <c r="U59" s="84"/>
      <c r="W59" s="84"/>
      <c r="X59" s="84"/>
      <c r="AB59" s="84"/>
      <c r="AD59" s="83"/>
      <c r="AE59" s="83"/>
      <c r="AF59" s="26"/>
    </row>
    <row r="60" spans="2:32" x14ac:dyDescent="0.25">
      <c r="B60" s="82"/>
      <c r="U60" s="84"/>
      <c r="W60" s="84"/>
      <c r="X60" s="84"/>
      <c r="AB60" s="84"/>
      <c r="AD60" s="83"/>
      <c r="AE60" s="83"/>
      <c r="AF60" s="26"/>
    </row>
    <row r="61" spans="2:32" x14ac:dyDescent="0.25">
      <c r="B61" s="82"/>
      <c r="U61" s="84"/>
      <c r="W61" s="84"/>
      <c r="X61" s="84"/>
      <c r="AB61" s="84"/>
      <c r="AD61" s="83"/>
      <c r="AE61" s="83"/>
      <c r="AF61" s="26"/>
    </row>
    <row r="62" spans="2:32" x14ac:dyDescent="0.25">
      <c r="B62" s="82"/>
      <c r="U62" s="84"/>
      <c r="W62" s="84"/>
      <c r="X62" s="84"/>
      <c r="AB62" s="84"/>
      <c r="AD62" s="83"/>
      <c r="AE62" s="83"/>
      <c r="AF62" s="26"/>
    </row>
    <row r="63" spans="2:32" x14ac:dyDescent="0.25">
      <c r="B63" s="82"/>
      <c r="U63" s="84"/>
      <c r="W63" s="84"/>
      <c r="X63" s="84"/>
      <c r="AB63" s="84"/>
      <c r="AD63" s="83"/>
      <c r="AE63" s="83"/>
      <c r="AF63" s="26"/>
    </row>
    <row r="64" spans="2:32" x14ac:dyDescent="0.25">
      <c r="B64" s="82"/>
      <c r="U64" s="84"/>
      <c r="W64" s="84"/>
      <c r="X64" s="84"/>
      <c r="AB64" s="84"/>
      <c r="AD64" s="83"/>
      <c r="AE64" s="83"/>
      <c r="AF64" s="26"/>
    </row>
    <row r="65" spans="2:32" x14ac:dyDescent="0.25">
      <c r="B65" s="82"/>
      <c r="U65" s="84"/>
      <c r="W65" s="84"/>
      <c r="X65" s="84"/>
      <c r="AB65" s="84"/>
      <c r="AD65" s="83"/>
      <c r="AE65" s="83"/>
      <c r="AF65" s="26"/>
    </row>
    <row r="66" spans="2:32" x14ac:dyDescent="0.25">
      <c r="B66" s="82"/>
      <c r="U66" s="84"/>
      <c r="W66" s="84"/>
      <c r="X66" s="84"/>
      <c r="AB66" s="84"/>
      <c r="AD66" s="83"/>
      <c r="AE66" s="83"/>
      <c r="AF66" s="26"/>
    </row>
    <row r="67" spans="2:32" x14ac:dyDescent="0.25">
      <c r="B67" s="82"/>
      <c r="U67" s="84"/>
      <c r="W67" s="84"/>
      <c r="X67" s="84"/>
      <c r="AB67" s="84"/>
      <c r="AD67" s="83"/>
      <c r="AE67" s="83"/>
      <c r="AF67" s="26"/>
    </row>
    <row r="68" spans="2:32" x14ac:dyDescent="0.25">
      <c r="B68" s="82"/>
      <c r="U68" s="84"/>
      <c r="W68" s="84"/>
      <c r="X68" s="84"/>
      <c r="AB68" s="84"/>
      <c r="AD68" s="83"/>
      <c r="AE68" s="83"/>
      <c r="AF68" s="26"/>
    </row>
    <row r="69" spans="2:32" x14ac:dyDescent="0.25">
      <c r="B69" s="82"/>
      <c r="U69" s="84"/>
      <c r="W69" s="84"/>
      <c r="X69" s="84"/>
      <c r="AB69" s="84"/>
      <c r="AD69" s="83"/>
      <c r="AE69" s="83"/>
      <c r="AF69" s="26"/>
    </row>
    <row r="70" spans="2:32" x14ac:dyDescent="0.25">
      <c r="B70" s="82"/>
      <c r="U70" s="84"/>
      <c r="W70" s="84"/>
      <c r="X70" s="84"/>
      <c r="AB70" s="84"/>
      <c r="AD70" s="83"/>
      <c r="AE70" s="83"/>
      <c r="AF70" s="26"/>
    </row>
    <row r="71" spans="2:32" x14ac:dyDescent="0.25">
      <c r="B71" s="82"/>
      <c r="U71" s="84"/>
      <c r="W71" s="84"/>
      <c r="X71" s="84"/>
      <c r="AB71" s="84"/>
      <c r="AD71" s="83"/>
      <c r="AE71" s="83"/>
      <c r="AF71" s="26"/>
    </row>
    <row r="72" spans="2:32" x14ac:dyDescent="0.25">
      <c r="B72" s="82"/>
      <c r="U72" s="84"/>
      <c r="W72" s="84"/>
      <c r="X72" s="84"/>
      <c r="AB72" s="84"/>
      <c r="AD72" s="83"/>
      <c r="AE72" s="83"/>
      <c r="AF72" s="26"/>
    </row>
    <row r="73" spans="2:32" x14ac:dyDescent="0.25">
      <c r="B73" s="82"/>
      <c r="U73" s="84"/>
      <c r="W73" s="84"/>
      <c r="X73" s="84"/>
      <c r="AB73" s="84"/>
      <c r="AD73" s="83"/>
      <c r="AE73" s="83"/>
      <c r="AF73" s="26"/>
    </row>
    <row r="74" spans="2:32" x14ac:dyDescent="0.25">
      <c r="B74" s="82"/>
      <c r="U74" s="84"/>
      <c r="W74" s="84"/>
      <c r="X74" s="84"/>
      <c r="AB74" s="84"/>
      <c r="AD74" s="83"/>
      <c r="AE74" s="83"/>
      <c r="AF74" s="26"/>
    </row>
    <row r="75" spans="2:32" x14ac:dyDescent="0.25">
      <c r="B75" s="82"/>
      <c r="U75" s="84"/>
      <c r="W75" s="84"/>
      <c r="X75" s="84"/>
      <c r="AB75" s="84"/>
      <c r="AD75" s="83"/>
      <c r="AE75" s="83"/>
      <c r="AF75" s="26"/>
    </row>
    <row r="76" spans="2:32" x14ac:dyDescent="0.25">
      <c r="B76" s="82"/>
      <c r="U76" s="84"/>
      <c r="W76" s="84"/>
      <c r="X76" s="84"/>
      <c r="AB76" s="84"/>
      <c r="AD76" s="83"/>
      <c r="AE76" s="83"/>
      <c r="AF76" s="26"/>
    </row>
    <row r="77" spans="2:32" x14ac:dyDescent="0.25">
      <c r="B77" s="82"/>
      <c r="U77" s="84"/>
      <c r="W77" s="84"/>
      <c r="X77" s="84"/>
      <c r="AB77" s="84"/>
      <c r="AD77" s="83"/>
      <c r="AE77" s="83"/>
      <c r="AF77" s="26"/>
    </row>
    <row r="78" spans="2:32" x14ac:dyDescent="0.25">
      <c r="B78" s="82"/>
      <c r="U78" s="84"/>
      <c r="W78" s="84"/>
      <c r="X78" s="84"/>
      <c r="AB78" s="84"/>
      <c r="AD78" s="83"/>
      <c r="AE78" s="83"/>
      <c r="AF78" s="26"/>
    </row>
    <row r="79" spans="2:32" x14ac:dyDescent="0.25">
      <c r="B79" s="82"/>
      <c r="U79" s="84"/>
      <c r="W79" s="84"/>
      <c r="X79" s="84"/>
      <c r="AB79" s="84"/>
      <c r="AD79" s="83"/>
      <c r="AE79" s="83"/>
      <c r="AF79" s="26"/>
    </row>
    <row r="80" spans="2:32" x14ac:dyDescent="0.25">
      <c r="B80" s="82"/>
      <c r="U80" s="84"/>
      <c r="W80" s="84"/>
      <c r="X80" s="84"/>
      <c r="AB80" s="84"/>
      <c r="AD80" s="83"/>
      <c r="AE80" s="83"/>
      <c r="AF80" s="26"/>
    </row>
    <row r="81" spans="2:32" x14ac:dyDescent="0.25">
      <c r="B81" s="82"/>
      <c r="U81" s="84"/>
      <c r="W81" s="84"/>
      <c r="X81" s="84"/>
      <c r="AB81" s="84"/>
      <c r="AD81" s="83"/>
      <c r="AE81" s="83"/>
      <c r="AF81" s="26"/>
    </row>
    <row r="82" spans="2:32" x14ac:dyDescent="0.25">
      <c r="B82" s="82"/>
      <c r="U82" s="84"/>
      <c r="W82" s="84"/>
      <c r="X82" s="84"/>
      <c r="AB82" s="84"/>
      <c r="AD82" s="83"/>
      <c r="AE82" s="83"/>
      <c r="AF82" s="26"/>
    </row>
    <row r="83" spans="2:32" x14ac:dyDescent="0.25">
      <c r="B83" s="82"/>
      <c r="U83" s="84"/>
      <c r="W83" s="84"/>
      <c r="X83" s="84"/>
      <c r="AB83" s="84"/>
      <c r="AD83" s="83"/>
      <c r="AE83" s="83"/>
      <c r="AF83" s="26"/>
    </row>
    <row r="84" spans="2:32" x14ac:dyDescent="0.25">
      <c r="B84" s="82"/>
      <c r="U84" s="84"/>
      <c r="W84" s="84"/>
      <c r="X84" s="84"/>
      <c r="AB84" s="84"/>
      <c r="AD84" s="83"/>
      <c r="AE84" s="83"/>
      <c r="AF84" s="26"/>
    </row>
    <row r="85" spans="2:32" x14ac:dyDescent="0.25">
      <c r="B85" s="82"/>
      <c r="U85" s="84"/>
      <c r="W85" s="84"/>
      <c r="X85" s="84"/>
      <c r="AB85" s="84"/>
      <c r="AD85" s="83"/>
      <c r="AE85" s="83"/>
      <c r="AF85" s="26"/>
    </row>
    <row r="86" spans="2:32" x14ac:dyDescent="0.25">
      <c r="B86" s="82"/>
      <c r="U86" s="84"/>
      <c r="W86" s="84"/>
      <c r="X86" s="84"/>
      <c r="AB86" s="84"/>
      <c r="AD86" s="83"/>
      <c r="AE86" s="83"/>
      <c r="AF86" s="26"/>
    </row>
    <row r="87" spans="2:32" x14ac:dyDescent="0.25">
      <c r="B87" s="82"/>
      <c r="U87" s="84"/>
      <c r="W87" s="84"/>
      <c r="X87" s="84"/>
      <c r="AB87" s="84"/>
      <c r="AD87" s="83"/>
      <c r="AE87" s="83"/>
      <c r="AF87" s="26"/>
    </row>
    <row r="88" spans="2:32" x14ac:dyDescent="0.25">
      <c r="B88" s="82"/>
      <c r="U88" s="84"/>
      <c r="W88" s="84"/>
      <c r="X88" s="84"/>
      <c r="AB88" s="84"/>
      <c r="AD88" s="83"/>
      <c r="AE88" s="83"/>
      <c r="AF88" s="26"/>
    </row>
    <row r="89" spans="2:32" x14ac:dyDescent="0.25">
      <c r="B89" s="82"/>
      <c r="U89" s="84"/>
      <c r="W89" s="84"/>
      <c r="X89" s="84"/>
      <c r="AB89" s="84"/>
      <c r="AD89" s="83"/>
      <c r="AE89" s="83"/>
      <c r="AF89" s="26"/>
    </row>
    <row r="90" spans="2:32" x14ac:dyDescent="0.25">
      <c r="B90" s="82"/>
      <c r="U90" s="84"/>
      <c r="W90" s="84"/>
      <c r="X90" s="84"/>
      <c r="AB90" s="84"/>
      <c r="AD90" s="83"/>
      <c r="AE90" s="83"/>
      <c r="AF90" s="26"/>
    </row>
    <row r="91" spans="2:32" x14ac:dyDescent="0.25">
      <c r="B91" s="82"/>
      <c r="U91" s="84"/>
      <c r="W91" s="84"/>
      <c r="X91" s="84"/>
      <c r="AB91" s="84"/>
      <c r="AD91" s="83"/>
      <c r="AE91" s="83"/>
      <c r="AF91" s="26"/>
    </row>
    <row r="92" spans="2:32" x14ac:dyDescent="0.25">
      <c r="B92" s="82"/>
      <c r="U92" s="84"/>
      <c r="W92" s="84"/>
      <c r="X92" s="84"/>
      <c r="AB92" s="84"/>
      <c r="AD92" s="83"/>
      <c r="AE92" s="83"/>
      <c r="AF92" s="26"/>
    </row>
    <row r="93" spans="2:32" x14ac:dyDescent="0.25">
      <c r="B93" s="82"/>
      <c r="U93" s="84"/>
      <c r="W93" s="84"/>
      <c r="X93" s="84"/>
      <c r="AB93" s="84"/>
      <c r="AD93" s="83"/>
      <c r="AE93" s="83"/>
      <c r="AF93" s="26"/>
    </row>
    <row r="94" spans="2:32" x14ac:dyDescent="0.25">
      <c r="B94" s="82"/>
      <c r="U94" s="84"/>
      <c r="W94" s="84"/>
      <c r="X94" s="84"/>
      <c r="AB94" s="84"/>
      <c r="AD94" s="83"/>
      <c r="AE94" s="83"/>
      <c r="AF94" s="26"/>
    </row>
    <row r="95" spans="2:32" x14ac:dyDescent="0.25">
      <c r="B95" s="82"/>
      <c r="U95" s="84"/>
      <c r="W95" s="84"/>
      <c r="X95" s="84"/>
      <c r="AB95" s="84"/>
      <c r="AD95" s="83"/>
      <c r="AE95" s="83"/>
      <c r="AF95" s="26"/>
    </row>
    <row r="96" spans="2:32" x14ac:dyDescent="0.25">
      <c r="B96" s="82"/>
      <c r="U96" s="84"/>
      <c r="W96" s="84"/>
      <c r="X96" s="84"/>
      <c r="AB96" s="84"/>
      <c r="AD96" s="83"/>
      <c r="AE96" s="83"/>
      <c r="AF96" s="26"/>
    </row>
    <row r="97" spans="2:32" x14ac:dyDescent="0.25">
      <c r="B97" s="82"/>
      <c r="U97" s="84"/>
      <c r="W97" s="84"/>
      <c r="X97" s="84"/>
      <c r="AB97" s="84"/>
      <c r="AD97" s="83"/>
      <c r="AE97" s="83"/>
      <c r="AF97" s="26"/>
    </row>
    <row r="98" spans="2:32" x14ac:dyDescent="0.25">
      <c r="B98" s="82"/>
      <c r="U98" s="84"/>
      <c r="W98" s="84"/>
      <c r="X98" s="84"/>
      <c r="AB98" s="84"/>
      <c r="AD98" s="83"/>
      <c r="AE98" s="83"/>
      <c r="AF98" s="83"/>
    </row>
    <row r="99" spans="2:32" x14ac:dyDescent="0.25">
      <c r="B99" s="82"/>
      <c r="U99" s="84"/>
      <c r="W99" s="84"/>
      <c r="X99" s="84"/>
      <c r="AB99" s="84"/>
      <c r="AD99" s="83"/>
      <c r="AE99" s="83"/>
      <c r="AF99" s="83"/>
    </row>
    <row r="100" spans="2:32" x14ac:dyDescent="0.25">
      <c r="B100" s="82"/>
      <c r="U100" s="84"/>
      <c r="W100" s="84"/>
      <c r="X100" s="84"/>
      <c r="AB100" s="84"/>
      <c r="AD100" s="83"/>
      <c r="AE100" s="83"/>
      <c r="AF100" s="83"/>
    </row>
    <row r="101" spans="2:32" x14ac:dyDescent="0.25">
      <c r="B101" s="82"/>
      <c r="U101" s="84"/>
      <c r="W101" s="84"/>
      <c r="X101" s="84"/>
      <c r="AB101" s="84"/>
      <c r="AD101" s="83"/>
      <c r="AE101" s="83"/>
      <c r="AF101" s="83"/>
    </row>
    <row r="102" spans="2:32" x14ac:dyDescent="0.25">
      <c r="B102" s="82"/>
      <c r="U102" s="84"/>
      <c r="W102" s="84"/>
      <c r="X102" s="84"/>
      <c r="AB102" s="84"/>
      <c r="AD102" s="83"/>
      <c r="AE102" s="83"/>
      <c r="AF102" s="83"/>
    </row>
    <row r="103" spans="2:32" x14ac:dyDescent="0.25">
      <c r="B103" s="82"/>
      <c r="U103" s="84"/>
      <c r="W103" s="84"/>
      <c r="X103" s="84"/>
      <c r="AB103" s="84"/>
      <c r="AD103" s="83"/>
      <c r="AE103" s="83"/>
      <c r="AF103" s="83"/>
    </row>
    <row r="104" spans="2:32" x14ac:dyDescent="0.25">
      <c r="B104" s="82"/>
      <c r="U104" s="84"/>
      <c r="W104" s="84"/>
      <c r="X104" s="84"/>
      <c r="AB104" s="84"/>
      <c r="AD104" s="83"/>
      <c r="AE104" s="83"/>
      <c r="AF104" s="83"/>
    </row>
    <row r="105" spans="2:32" x14ac:dyDescent="0.25">
      <c r="B105" s="82"/>
      <c r="U105" s="84"/>
      <c r="W105" s="84"/>
      <c r="X105" s="84"/>
      <c r="AB105" s="84"/>
      <c r="AD105" s="83"/>
      <c r="AE105" s="83"/>
      <c r="AF105" s="83"/>
    </row>
    <row r="106" spans="2:32" x14ac:dyDescent="0.25">
      <c r="B106" s="82"/>
      <c r="U106" s="84"/>
      <c r="W106" s="84"/>
      <c r="X106" s="84"/>
      <c r="AB106" s="84"/>
      <c r="AD106" s="83"/>
      <c r="AE106" s="83"/>
      <c r="AF106" s="83"/>
    </row>
    <row r="107" spans="2:32" x14ac:dyDescent="0.25">
      <c r="B107" s="82"/>
      <c r="U107" s="84"/>
      <c r="W107" s="84"/>
      <c r="X107" s="84"/>
      <c r="AB107" s="84"/>
      <c r="AD107" s="83"/>
      <c r="AE107" s="83"/>
      <c r="AF107" s="83"/>
    </row>
    <row r="108" spans="2:32" x14ac:dyDescent="0.25">
      <c r="B108" s="82"/>
      <c r="U108" s="84"/>
      <c r="W108" s="84"/>
      <c r="X108" s="84"/>
      <c r="AB108" s="84"/>
      <c r="AD108" s="83"/>
      <c r="AE108" s="83"/>
      <c r="AF108" s="83"/>
    </row>
    <row r="109" spans="2:32" x14ac:dyDescent="0.25">
      <c r="B109" s="82"/>
      <c r="U109" s="84"/>
      <c r="W109" s="84"/>
      <c r="X109" s="84"/>
      <c r="AB109" s="84"/>
      <c r="AD109" s="83"/>
      <c r="AE109" s="83"/>
      <c r="AF109" s="83"/>
    </row>
    <row r="110" spans="2:32" x14ac:dyDescent="0.25">
      <c r="B110" s="82"/>
      <c r="U110" s="84"/>
      <c r="W110" s="84"/>
      <c r="X110" s="84"/>
      <c r="AB110" s="84"/>
      <c r="AD110" s="83"/>
      <c r="AE110" s="83"/>
      <c r="AF110" s="83"/>
    </row>
    <row r="111" spans="2:32" x14ac:dyDescent="0.25">
      <c r="B111" s="82"/>
      <c r="U111" s="84"/>
      <c r="W111" s="84"/>
      <c r="X111" s="84"/>
      <c r="AB111" s="84"/>
      <c r="AD111" s="83"/>
      <c r="AE111" s="83"/>
      <c r="AF111" s="83"/>
    </row>
    <row r="112" spans="2:32" x14ac:dyDescent="0.25">
      <c r="B112" s="82"/>
      <c r="U112" s="84"/>
      <c r="W112" s="84"/>
      <c r="X112" s="84"/>
      <c r="AB112" s="84"/>
      <c r="AD112" s="83"/>
      <c r="AE112" s="83"/>
      <c r="AF112" s="83"/>
    </row>
    <row r="113" spans="2:32" x14ac:dyDescent="0.25">
      <c r="B113" s="82"/>
      <c r="U113" s="84"/>
      <c r="W113" s="84"/>
      <c r="X113" s="84"/>
      <c r="AB113" s="84"/>
      <c r="AD113" s="83"/>
      <c r="AE113" s="83"/>
      <c r="AF113" s="83"/>
    </row>
    <row r="114" spans="2:32" x14ac:dyDescent="0.25">
      <c r="B114" s="82"/>
      <c r="U114" s="84"/>
      <c r="W114" s="84"/>
      <c r="X114" s="84"/>
      <c r="AB114" s="84"/>
      <c r="AD114" s="83"/>
      <c r="AE114" s="83"/>
      <c r="AF114" s="83"/>
    </row>
    <row r="115" spans="2:32" x14ac:dyDescent="0.25">
      <c r="B115" s="82"/>
      <c r="U115" s="84"/>
      <c r="W115" s="84"/>
      <c r="X115" s="84"/>
      <c r="AB115" s="84"/>
      <c r="AD115" s="83"/>
      <c r="AE115" s="83"/>
      <c r="AF115" s="83"/>
    </row>
    <row r="116" spans="2:32" x14ac:dyDescent="0.25">
      <c r="B116" s="82"/>
      <c r="U116" s="84"/>
      <c r="W116" s="84"/>
      <c r="X116" s="84"/>
      <c r="AB116" s="84"/>
      <c r="AD116" s="83"/>
      <c r="AE116" s="83"/>
      <c r="AF116" s="83"/>
    </row>
    <row r="117" spans="2:32" x14ac:dyDescent="0.25">
      <c r="B117" s="82"/>
      <c r="U117" s="84"/>
      <c r="W117" s="84"/>
      <c r="X117" s="84"/>
      <c r="AB117" s="84"/>
      <c r="AD117" s="83"/>
      <c r="AE117" s="83"/>
      <c r="AF117" s="83"/>
    </row>
    <row r="118" spans="2:32" x14ac:dyDescent="0.25">
      <c r="B118" s="82"/>
      <c r="U118" s="84"/>
      <c r="W118" s="84"/>
      <c r="X118" s="84"/>
      <c r="AB118" s="84"/>
      <c r="AD118" s="83"/>
      <c r="AE118" s="83"/>
      <c r="AF118" s="83"/>
    </row>
    <row r="119" spans="2:32" x14ac:dyDescent="0.25">
      <c r="B119" s="82"/>
      <c r="U119" s="84"/>
      <c r="W119" s="84"/>
      <c r="X119" s="84"/>
      <c r="AB119" s="84"/>
      <c r="AD119" s="83"/>
      <c r="AE119" s="83"/>
      <c r="AF119" s="83"/>
    </row>
    <row r="120" spans="2:32" x14ac:dyDescent="0.25">
      <c r="B120" s="82"/>
      <c r="U120" s="84"/>
      <c r="W120" s="84"/>
      <c r="X120" s="84"/>
      <c r="AB120" s="84"/>
      <c r="AD120" s="83"/>
      <c r="AE120" s="83"/>
      <c r="AF120" s="83"/>
    </row>
    <row r="121" spans="2:32" x14ac:dyDescent="0.25">
      <c r="B121" s="82"/>
      <c r="U121" s="84"/>
      <c r="W121" s="84"/>
      <c r="X121" s="84"/>
      <c r="AB121" s="84"/>
      <c r="AD121" s="83"/>
      <c r="AE121" s="83"/>
      <c r="AF121" s="83"/>
    </row>
    <row r="122" spans="2:32" x14ac:dyDescent="0.25">
      <c r="B122" s="82"/>
      <c r="U122" s="84"/>
      <c r="W122" s="84"/>
      <c r="X122" s="84"/>
      <c r="AB122" s="84"/>
      <c r="AD122" s="83"/>
      <c r="AE122" s="83"/>
      <c r="AF122" s="83"/>
    </row>
    <row r="123" spans="2:32" x14ac:dyDescent="0.25">
      <c r="B123" s="82"/>
      <c r="U123" s="84"/>
      <c r="W123" s="84"/>
      <c r="X123" s="84"/>
      <c r="AB123" s="84"/>
      <c r="AD123" s="83"/>
      <c r="AE123" s="83"/>
      <c r="AF123" s="83"/>
    </row>
    <row r="124" spans="2:32" x14ac:dyDescent="0.25">
      <c r="B124" s="82"/>
      <c r="U124" s="84"/>
      <c r="W124" s="84"/>
      <c r="X124" s="84"/>
      <c r="AB124" s="84"/>
      <c r="AD124" s="83"/>
      <c r="AE124" s="83"/>
      <c r="AF124" s="83"/>
    </row>
    <row r="125" spans="2:32" x14ac:dyDescent="0.25">
      <c r="B125" s="82"/>
      <c r="U125" s="84"/>
      <c r="W125" s="84"/>
      <c r="X125" s="84"/>
      <c r="AB125" s="84"/>
      <c r="AD125" s="83"/>
      <c r="AE125" s="83"/>
      <c r="AF125" s="83"/>
    </row>
    <row r="126" spans="2:32" x14ac:dyDescent="0.25">
      <c r="B126" s="82"/>
      <c r="U126" s="84"/>
      <c r="W126" s="84"/>
      <c r="X126" s="84"/>
      <c r="AB126" s="84"/>
      <c r="AD126" s="83"/>
      <c r="AE126" s="83"/>
      <c r="AF126" s="83"/>
    </row>
    <row r="127" spans="2:32" x14ac:dyDescent="0.25">
      <c r="B127" s="82"/>
      <c r="U127" s="84"/>
      <c r="W127" s="84"/>
      <c r="X127" s="84"/>
      <c r="AB127" s="84"/>
      <c r="AD127" s="83"/>
      <c r="AE127" s="83"/>
      <c r="AF127" s="83"/>
    </row>
    <row r="128" spans="2:32" x14ac:dyDescent="0.25">
      <c r="B128" s="82"/>
      <c r="U128" s="84"/>
      <c r="W128" s="84"/>
      <c r="X128" s="84"/>
      <c r="AB128" s="84"/>
      <c r="AD128" s="83"/>
      <c r="AE128" s="83"/>
      <c r="AF128" s="83"/>
    </row>
    <row r="129" spans="2:32" x14ac:dyDescent="0.25">
      <c r="B129" s="82"/>
      <c r="U129" s="84"/>
      <c r="W129" s="84"/>
      <c r="X129" s="84"/>
      <c r="AB129" s="84"/>
      <c r="AD129" s="83"/>
      <c r="AE129" s="83"/>
      <c r="AF129" s="83"/>
    </row>
    <row r="130" spans="2:32" x14ac:dyDescent="0.25">
      <c r="B130" s="82"/>
      <c r="U130" s="84"/>
      <c r="W130" s="84"/>
      <c r="X130" s="84"/>
      <c r="AB130" s="84"/>
      <c r="AD130" s="83"/>
      <c r="AE130" s="83"/>
      <c r="AF130" s="83"/>
    </row>
    <row r="131" spans="2:32" x14ac:dyDescent="0.25">
      <c r="B131" s="82"/>
      <c r="U131" s="84"/>
      <c r="W131" s="84"/>
      <c r="X131" s="84"/>
      <c r="AB131" s="84"/>
      <c r="AD131" s="83"/>
      <c r="AE131" s="83"/>
      <c r="AF131" s="83"/>
    </row>
    <row r="132" spans="2:32" x14ac:dyDescent="0.25">
      <c r="B132" s="82"/>
      <c r="U132" s="84"/>
      <c r="W132" s="84"/>
      <c r="X132" s="84"/>
      <c r="AB132" s="84"/>
      <c r="AD132" s="83"/>
      <c r="AE132" s="83"/>
      <c r="AF132" s="83"/>
    </row>
    <row r="133" spans="2:32" x14ac:dyDescent="0.25">
      <c r="B133" s="82"/>
      <c r="U133" s="84"/>
      <c r="W133" s="84"/>
      <c r="X133" s="84"/>
      <c r="AB133" s="84"/>
      <c r="AD133" s="83"/>
      <c r="AE133" s="83"/>
      <c r="AF133" s="83"/>
    </row>
    <row r="134" spans="2:32" x14ac:dyDescent="0.25">
      <c r="B134" s="82"/>
      <c r="U134" s="84"/>
      <c r="W134" s="84"/>
      <c r="X134" s="84"/>
      <c r="AB134" s="84"/>
      <c r="AD134" s="83"/>
      <c r="AE134" s="83"/>
      <c r="AF134" s="83"/>
    </row>
    <row r="135" spans="2:32" x14ac:dyDescent="0.25">
      <c r="B135" s="82"/>
      <c r="U135" s="84"/>
      <c r="W135" s="84"/>
      <c r="X135" s="84"/>
      <c r="AB135" s="84"/>
      <c r="AD135" s="83"/>
      <c r="AE135" s="83"/>
      <c r="AF135" s="83"/>
    </row>
    <row r="136" spans="2:32" x14ac:dyDescent="0.25">
      <c r="B136" s="82"/>
      <c r="U136" s="84"/>
      <c r="W136" s="84"/>
      <c r="X136" s="84"/>
      <c r="AB136" s="84"/>
      <c r="AD136" s="83"/>
      <c r="AE136" s="83"/>
      <c r="AF136" s="83"/>
    </row>
    <row r="137" spans="2:32" x14ac:dyDescent="0.25">
      <c r="B137" s="82"/>
      <c r="U137" s="84"/>
      <c r="W137" s="84"/>
      <c r="X137" s="84"/>
      <c r="AB137" s="84"/>
      <c r="AD137" s="83"/>
      <c r="AE137" s="83"/>
      <c r="AF137" s="83"/>
    </row>
    <row r="138" spans="2:32" x14ac:dyDescent="0.25">
      <c r="B138" s="82"/>
      <c r="U138" s="84"/>
      <c r="W138" s="84"/>
      <c r="X138" s="84"/>
      <c r="AB138" s="84"/>
      <c r="AD138" s="83"/>
      <c r="AE138" s="83"/>
      <c r="AF138" s="83"/>
    </row>
    <row r="139" spans="2:32" x14ac:dyDescent="0.25">
      <c r="B139" s="82"/>
      <c r="U139" s="84"/>
      <c r="W139" s="84"/>
      <c r="X139" s="84"/>
      <c r="AB139" s="84"/>
      <c r="AD139" s="83"/>
      <c r="AE139" s="83"/>
      <c r="AF139" s="83"/>
    </row>
    <row r="140" spans="2:32" x14ac:dyDescent="0.25">
      <c r="B140" s="82"/>
      <c r="U140" s="84"/>
      <c r="W140" s="84"/>
      <c r="X140" s="84"/>
      <c r="AB140" s="84"/>
      <c r="AD140" s="83"/>
      <c r="AE140" s="83"/>
      <c r="AF140" s="83"/>
    </row>
    <row r="141" spans="2:32" x14ac:dyDescent="0.25">
      <c r="B141" s="82"/>
      <c r="U141" s="84"/>
      <c r="W141" s="84"/>
      <c r="X141" s="84"/>
      <c r="AB141" s="84"/>
      <c r="AD141" s="83"/>
      <c r="AE141" s="83"/>
      <c r="AF141" s="83"/>
    </row>
    <row r="142" spans="2:32" x14ac:dyDescent="0.25">
      <c r="B142" s="82"/>
      <c r="U142" s="84"/>
      <c r="W142" s="84"/>
      <c r="X142" s="84"/>
      <c r="AB142" s="84"/>
      <c r="AD142" s="83"/>
      <c r="AE142" s="83"/>
      <c r="AF142" s="83"/>
    </row>
    <row r="143" spans="2:32" x14ac:dyDescent="0.25">
      <c r="B143" s="82"/>
      <c r="U143" s="84"/>
      <c r="W143" s="84"/>
      <c r="X143" s="84"/>
      <c r="AB143" s="84"/>
      <c r="AD143" s="83"/>
      <c r="AE143" s="83"/>
      <c r="AF143" s="83"/>
    </row>
    <row r="144" spans="2:32" x14ac:dyDescent="0.25">
      <c r="B144" s="82"/>
      <c r="U144" s="84"/>
      <c r="W144" s="84"/>
      <c r="X144" s="84"/>
      <c r="AB144" s="84"/>
      <c r="AD144" s="83"/>
      <c r="AE144" s="83"/>
      <c r="AF144" s="83"/>
    </row>
    <row r="145" spans="2:32" x14ac:dyDescent="0.25">
      <c r="B145" s="82"/>
      <c r="U145" s="84"/>
      <c r="W145" s="84"/>
      <c r="X145" s="84"/>
      <c r="AB145" s="84"/>
      <c r="AD145" s="83"/>
      <c r="AE145" s="83"/>
      <c r="AF145" s="83"/>
    </row>
    <row r="146" spans="2:32" x14ac:dyDescent="0.25">
      <c r="B146" s="82"/>
      <c r="U146" s="84"/>
      <c r="W146" s="84"/>
      <c r="X146" s="84"/>
      <c r="AB146" s="84"/>
      <c r="AD146" s="83"/>
      <c r="AE146" s="83"/>
      <c r="AF146" s="83"/>
    </row>
    <row r="147" spans="2:32" x14ac:dyDescent="0.25">
      <c r="B147" s="82"/>
      <c r="U147" s="84"/>
      <c r="W147" s="84"/>
      <c r="X147" s="84"/>
      <c r="AB147" s="84"/>
      <c r="AD147" s="83"/>
      <c r="AE147" s="83"/>
      <c r="AF147" s="83"/>
    </row>
    <row r="148" spans="2:32" x14ac:dyDescent="0.25">
      <c r="B148" s="82"/>
      <c r="U148" s="84"/>
      <c r="W148" s="84"/>
      <c r="X148" s="84"/>
      <c r="AB148" s="84"/>
      <c r="AD148" s="83"/>
      <c r="AE148" s="83"/>
      <c r="AF148" s="83"/>
    </row>
    <row r="149" spans="2:32" x14ac:dyDescent="0.25">
      <c r="B149" s="82"/>
      <c r="U149" s="84"/>
      <c r="W149" s="84"/>
      <c r="X149" s="84"/>
      <c r="AB149" s="84"/>
      <c r="AD149" s="83"/>
      <c r="AE149" s="83"/>
      <c r="AF149" s="83"/>
    </row>
    <row r="150" spans="2:32" x14ac:dyDescent="0.25">
      <c r="B150" s="82"/>
      <c r="U150" s="84"/>
      <c r="W150" s="84"/>
      <c r="X150" s="84"/>
      <c r="AB150" s="84"/>
      <c r="AD150" s="83"/>
      <c r="AE150" s="83"/>
      <c r="AF150" s="83"/>
    </row>
    <row r="151" spans="2:32" x14ac:dyDescent="0.25">
      <c r="B151" s="82"/>
      <c r="U151" s="84"/>
      <c r="W151" s="84"/>
      <c r="X151" s="84"/>
      <c r="AB151" s="84"/>
      <c r="AD151" s="83"/>
      <c r="AE151" s="83"/>
      <c r="AF151" s="83"/>
    </row>
    <row r="152" spans="2:32" x14ac:dyDescent="0.25">
      <c r="B152" s="82"/>
      <c r="U152" s="84"/>
      <c r="W152" s="84"/>
      <c r="X152" s="84"/>
      <c r="AB152" s="84"/>
      <c r="AD152" s="83"/>
      <c r="AE152" s="83"/>
      <c r="AF152" s="83"/>
    </row>
    <row r="153" spans="2:32" x14ac:dyDescent="0.25">
      <c r="B153" s="82"/>
      <c r="U153" s="84"/>
      <c r="W153" s="84"/>
      <c r="X153" s="84"/>
      <c r="AB153" s="84"/>
      <c r="AD153" s="83"/>
      <c r="AE153" s="83"/>
      <c r="AF153" s="83"/>
    </row>
    <row r="154" spans="2:32" x14ac:dyDescent="0.25">
      <c r="B154" s="82"/>
      <c r="U154" s="84"/>
      <c r="W154" s="84"/>
      <c r="X154" s="84"/>
      <c r="AB154" s="84"/>
      <c r="AD154" s="83"/>
      <c r="AE154" s="83"/>
      <c r="AF154" s="83"/>
    </row>
    <row r="155" spans="2:32" x14ac:dyDescent="0.25">
      <c r="B155" s="82"/>
      <c r="U155" s="84"/>
      <c r="W155" s="84"/>
      <c r="X155" s="84"/>
      <c r="AB155" s="84"/>
      <c r="AD155" s="83"/>
      <c r="AE155" s="83"/>
      <c r="AF155" s="83"/>
    </row>
    <row r="156" spans="2:32" x14ac:dyDescent="0.25">
      <c r="B156" s="82"/>
      <c r="U156" s="84"/>
      <c r="W156" s="84"/>
      <c r="X156" s="84"/>
      <c r="AB156" s="84"/>
      <c r="AD156" s="83"/>
      <c r="AE156" s="83"/>
      <c r="AF156" s="83"/>
    </row>
    <row r="157" spans="2:32" x14ac:dyDescent="0.25">
      <c r="B157" s="82"/>
      <c r="U157" s="84"/>
      <c r="W157" s="84"/>
      <c r="X157" s="84"/>
      <c r="AB157" s="84"/>
      <c r="AD157" s="83"/>
      <c r="AE157" s="83"/>
      <c r="AF157" s="83"/>
    </row>
    <row r="158" spans="2:32" x14ac:dyDescent="0.25">
      <c r="B158" s="82"/>
      <c r="U158" s="84"/>
      <c r="W158" s="84"/>
      <c r="X158" s="84"/>
      <c r="AB158" s="84"/>
      <c r="AD158" s="83"/>
      <c r="AE158" s="83"/>
      <c r="AF158" s="83"/>
    </row>
    <row r="159" spans="2:32" x14ac:dyDescent="0.25">
      <c r="B159" s="82"/>
      <c r="U159" s="84"/>
      <c r="W159" s="84"/>
      <c r="X159" s="84"/>
      <c r="AB159" s="84"/>
      <c r="AD159" s="83"/>
      <c r="AE159" s="83"/>
      <c r="AF159" s="83"/>
    </row>
    <row r="160" spans="2:32" x14ac:dyDescent="0.25">
      <c r="B160" s="82"/>
      <c r="U160" s="84"/>
      <c r="W160" s="84"/>
      <c r="X160" s="84"/>
      <c r="AB160" s="84"/>
      <c r="AD160" s="83"/>
      <c r="AE160" s="83"/>
      <c r="AF160" s="83"/>
    </row>
    <row r="161" spans="2:32" x14ac:dyDescent="0.25">
      <c r="B161" s="82"/>
      <c r="U161" s="84"/>
      <c r="W161" s="84"/>
      <c r="X161" s="84"/>
      <c r="AB161" s="84"/>
      <c r="AD161" s="83"/>
      <c r="AE161" s="83"/>
      <c r="AF161" s="83"/>
    </row>
    <row r="162" spans="2:32" x14ac:dyDescent="0.25">
      <c r="B162" s="82"/>
      <c r="U162" s="84"/>
      <c r="W162" s="84"/>
      <c r="X162" s="84"/>
      <c r="AB162" s="84"/>
      <c r="AD162" s="83"/>
      <c r="AE162" s="83"/>
      <c r="AF162" s="83"/>
    </row>
    <row r="163" spans="2:32" x14ac:dyDescent="0.25">
      <c r="B163" s="82"/>
      <c r="U163" s="84"/>
      <c r="W163" s="84"/>
      <c r="X163" s="84"/>
      <c r="AB163" s="84"/>
      <c r="AD163" s="83"/>
      <c r="AE163" s="83"/>
      <c r="AF163" s="83"/>
    </row>
    <row r="164" spans="2:32" x14ac:dyDescent="0.25">
      <c r="B164" s="82"/>
      <c r="U164" s="84"/>
      <c r="W164" s="84"/>
      <c r="X164" s="84"/>
      <c r="AB164" s="84"/>
      <c r="AD164" s="83"/>
      <c r="AE164" s="83"/>
      <c r="AF164" s="83"/>
    </row>
    <row r="165" spans="2:32" x14ac:dyDescent="0.25">
      <c r="B165" s="82"/>
      <c r="U165" s="84"/>
      <c r="W165" s="84"/>
      <c r="X165" s="84"/>
      <c r="AB165" s="84"/>
      <c r="AD165" s="83"/>
      <c r="AE165" s="83"/>
      <c r="AF165" s="83"/>
    </row>
    <row r="166" spans="2:32" x14ac:dyDescent="0.25">
      <c r="B166" s="82"/>
      <c r="U166" s="84"/>
      <c r="W166" s="84"/>
      <c r="X166" s="84"/>
      <c r="AB166" s="84"/>
      <c r="AD166" s="83"/>
      <c r="AE166" s="83"/>
      <c r="AF166" s="83"/>
    </row>
    <row r="167" spans="2:32" x14ac:dyDescent="0.25">
      <c r="B167" s="82"/>
      <c r="U167" s="84"/>
      <c r="W167" s="84"/>
      <c r="X167" s="84"/>
      <c r="AB167" s="84"/>
      <c r="AD167" s="83"/>
      <c r="AE167" s="83"/>
      <c r="AF167" s="83"/>
    </row>
    <row r="168" spans="2:32" x14ac:dyDescent="0.25">
      <c r="B168" s="82"/>
      <c r="U168" s="84"/>
      <c r="W168" s="84"/>
      <c r="X168" s="84"/>
      <c r="AB168" s="84"/>
      <c r="AD168" s="83"/>
      <c r="AE168" s="83"/>
      <c r="AF168" s="83"/>
    </row>
    <row r="169" spans="2:32" x14ac:dyDescent="0.25">
      <c r="B169" s="82"/>
      <c r="U169" s="84"/>
      <c r="W169" s="84"/>
      <c r="X169" s="84"/>
      <c r="AB169" s="84"/>
      <c r="AD169" s="83"/>
      <c r="AE169" s="83"/>
      <c r="AF169" s="83"/>
    </row>
    <row r="170" spans="2:32" x14ac:dyDescent="0.25">
      <c r="B170" s="82"/>
      <c r="U170" s="84"/>
      <c r="W170" s="84"/>
      <c r="X170" s="84"/>
      <c r="AB170" s="84"/>
      <c r="AD170" s="83"/>
      <c r="AE170" s="83"/>
      <c r="AF170" s="83"/>
    </row>
    <row r="171" spans="2:32" x14ac:dyDescent="0.25">
      <c r="B171" s="82"/>
      <c r="U171" s="84"/>
      <c r="W171" s="84"/>
      <c r="X171" s="84"/>
      <c r="AB171" s="84"/>
      <c r="AD171" s="83"/>
      <c r="AE171" s="83"/>
      <c r="AF171" s="83"/>
    </row>
    <row r="172" spans="2:32" x14ac:dyDescent="0.25">
      <c r="B172" s="82"/>
      <c r="U172" s="84"/>
      <c r="W172" s="84"/>
      <c r="X172" s="84"/>
      <c r="AB172" s="84"/>
      <c r="AD172" s="83"/>
      <c r="AE172" s="83"/>
      <c r="AF172" s="83"/>
    </row>
    <row r="173" spans="2:32" x14ac:dyDescent="0.25">
      <c r="B173" s="82"/>
      <c r="U173" s="84"/>
      <c r="W173" s="84"/>
      <c r="X173" s="84"/>
      <c r="AB173" s="84"/>
      <c r="AD173" s="83"/>
      <c r="AE173" s="83"/>
      <c r="AF173" s="83"/>
    </row>
    <row r="174" spans="2:32" x14ac:dyDescent="0.25">
      <c r="B174" s="82"/>
      <c r="U174" s="84"/>
      <c r="W174" s="84"/>
      <c r="X174" s="84"/>
      <c r="AB174" s="84"/>
      <c r="AD174" s="83"/>
      <c r="AE174" s="83"/>
      <c r="AF174" s="83"/>
    </row>
    <row r="175" spans="2:32" x14ac:dyDescent="0.25">
      <c r="B175" s="82"/>
      <c r="U175" s="84"/>
      <c r="W175" s="84"/>
      <c r="X175" s="84"/>
      <c r="AB175" s="84"/>
      <c r="AD175" s="83"/>
      <c r="AE175" s="83"/>
      <c r="AF175" s="83"/>
    </row>
    <row r="176" spans="2:32" x14ac:dyDescent="0.25">
      <c r="B176" s="82"/>
      <c r="U176" s="84"/>
      <c r="W176" s="84"/>
      <c r="X176" s="84"/>
      <c r="AB176" s="84"/>
      <c r="AD176" s="83"/>
      <c r="AE176" s="83"/>
      <c r="AF176" s="83"/>
    </row>
    <row r="177" spans="2:32" x14ac:dyDescent="0.25">
      <c r="B177" s="82"/>
      <c r="U177" s="84"/>
      <c r="W177" s="84"/>
      <c r="X177" s="84"/>
      <c r="AB177" s="84"/>
      <c r="AD177" s="83"/>
      <c r="AE177" s="83"/>
      <c r="AF177" s="83"/>
    </row>
    <row r="178" spans="2:32" x14ac:dyDescent="0.25">
      <c r="B178" s="82"/>
      <c r="U178" s="84"/>
      <c r="W178" s="84"/>
      <c r="X178" s="84"/>
      <c r="AB178" s="84"/>
      <c r="AD178" s="83"/>
      <c r="AE178" s="83"/>
      <c r="AF178" s="83"/>
    </row>
    <row r="179" spans="2:32" x14ac:dyDescent="0.25">
      <c r="B179" s="82"/>
      <c r="U179" s="84"/>
      <c r="W179" s="84"/>
      <c r="X179" s="84"/>
      <c r="AB179" s="84"/>
      <c r="AD179" s="83"/>
      <c r="AE179" s="83"/>
      <c r="AF179" s="83"/>
    </row>
    <row r="180" spans="2:32" x14ac:dyDescent="0.25">
      <c r="B180" s="82"/>
      <c r="U180" s="84"/>
      <c r="W180" s="84"/>
      <c r="X180" s="84"/>
      <c r="AB180" s="84"/>
      <c r="AD180" s="83"/>
      <c r="AE180" s="83"/>
      <c r="AF180" s="83"/>
    </row>
    <row r="181" spans="2:32" x14ac:dyDescent="0.25">
      <c r="B181" s="82"/>
      <c r="U181" s="84"/>
      <c r="W181" s="84"/>
      <c r="X181" s="84"/>
      <c r="AB181" s="84"/>
      <c r="AD181" s="83"/>
      <c r="AE181" s="83"/>
      <c r="AF181" s="83"/>
    </row>
    <row r="182" spans="2:32" x14ac:dyDescent="0.25">
      <c r="B182" s="82"/>
      <c r="U182" s="84"/>
      <c r="W182" s="84"/>
      <c r="X182" s="84"/>
      <c r="AB182" s="84"/>
      <c r="AD182" s="83"/>
      <c r="AE182" s="83"/>
      <c r="AF182" s="83"/>
    </row>
    <row r="183" spans="2:32" x14ac:dyDescent="0.25">
      <c r="B183" s="82"/>
      <c r="U183" s="84"/>
      <c r="W183" s="84"/>
      <c r="X183" s="84"/>
      <c r="AB183" s="84"/>
      <c r="AD183" s="83"/>
      <c r="AE183" s="83"/>
      <c r="AF183" s="83"/>
    </row>
    <row r="184" spans="2:32" x14ac:dyDescent="0.25">
      <c r="B184" s="82"/>
      <c r="U184" s="84"/>
      <c r="W184" s="84"/>
      <c r="X184" s="84"/>
      <c r="AB184" s="84"/>
      <c r="AD184" s="83"/>
      <c r="AE184" s="83"/>
      <c r="AF184" s="83"/>
    </row>
    <row r="185" spans="2:32" x14ac:dyDescent="0.25">
      <c r="B185" s="82"/>
      <c r="U185" s="84"/>
      <c r="W185" s="84"/>
      <c r="X185" s="84"/>
      <c r="AB185" s="84"/>
      <c r="AD185" s="83"/>
      <c r="AE185" s="83"/>
      <c r="AF185" s="83"/>
    </row>
    <row r="186" spans="2:32" x14ac:dyDescent="0.25">
      <c r="B186" s="82"/>
      <c r="U186" s="84"/>
      <c r="W186" s="84"/>
      <c r="X186" s="84"/>
      <c r="AB186" s="84"/>
      <c r="AD186" s="83"/>
      <c r="AE186" s="83"/>
      <c r="AF186" s="83"/>
    </row>
    <row r="187" spans="2:32" x14ac:dyDescent="0.25">
      <c r="B187" s="82"/>
      <c r="U187" s="84"/>
      <c r="W187" s="84"/>
      <c r="X187" s="84"/>
      <c r="AB187" s="84"/>
      <c r="AD187" s="83"/>
      <c r="AE187" s="83"/>
      <c r="AF187" s="83"/>
    </row>
    <row r="188" spans="2:32" x14ac:dyDescent="0.25">
      <c r="B188" s="82"/>
      <c r="U188" s="84"/>
      <c r="W188" s="84"/>
      <c r="X188" s="84"/>
      <c r="AB188" s="84"/>
      <c r="AD188" s="83"/>
      <c r="AE188" s="83"/>
      <c r="AF188" s="83"/>
    </row>
    <row r="189" spans="2:32" x14ac:dyDescent="0.25">
      <c r="B189" s="82"/>
      <c r="U189" s="84"/>
      <c r="W189" s="84"/>
      <c r="X189" s="84"/>
      <c r="AB189" s="84"/>
      <c r="AD189" s="83"/>
      <c r="AE189" s="83"/>
      <c r="AF189" s="83"/>
    </row>
    <row r="190" spans="2:32" x14ac:dyDescent="0.25">
      <c r="B190" s="82"/>
      <c r="U190" s="84"/>
      <c r="W190" s="84"/>
      <c r="X190" s="84"/>
      <c r="AB190" s="84"/>
      <c r="AD190" s="83"/>
      <c r="AE190" s="83"/>
      <c r="AF190" s="83"/>
    </row>
    <row r="191" spans="2:32" x14ac:dyDescent="0.25">
      <c r="B191" s="82"/>
      <c r="U191" s="84"/>
      <c r="W191" s="84"/>
      <c r="X191" s="84"/>
      <c r="AB191" s="84"/>
      <c r="AD191" s="83"/>
      <c r="AE191" s="83"/>
      <c r="AF191" s="83"/>
    </row>
    <row r="192" spans="2:32" x14ac:dyDescent="0.25">
      <c r="B192" s="82"/>
      <c r="U192" s="84"/>
      <c r="W192" s="84"/>
      <c r="X192" s="84"/>
      <c r="AB192" s="84"/>
      <c r="AD192" s="83"/>
      <c r="AE192" s="83"/>
      <c r="AF192" s="83"/>
    </row>
    <row r="193" spans="2:32" x14ac:dyDescent="0.25">
      <c r="B193" s="82"/>
      <c r="U193" s="84"/>
      <c r="W193" s="84"/>
      <c r="X193" s="84"/>
      <c r="AB193" s="84"/>
      <c r="AD193" s="83"/>
      <c r="AE193" s="83"/>
      <c r="AF193" s="83"/>
    </row>
    <row r="194" spans="2:32" x14ac:dyDescent="0.25">
      <c r="B194" s="82"/>
      <c r="U194" s="84"/>
      <c r="W194" s="84"/>
      <c r="X194" s="84"/>
      <c r="AB194" s="84"/>
      <c r="AD194" s="83"/>
      <c r="AE194" s="83"/>
      <c r="AF194" s="83"/>
    </row>
    <row r="195" spans="2:32" x14ac:dyDescent="0.25">
      <c r="B195" s="82"/>
      <c r="U195" s="84"/>
      <c r="W195" s="84"/>
      <c r="X195" s="84"/>
      <c r="AB195" s="84"/>
      <c r="AD195" s="83"/>
      <c r="AE195" s="83"/>
      <c r="AF195" s="83"/>
    </row>
    <row r="196" spans="2:32" x14ac:dyDescent="0.25">
      <c r="B196" s="82"/>
      <c r="U196" s="84"/>
      <c r="W196" s="84"/>
      <c r="X196" s="84"/>
      <c r="AB196" s="84"/>
      <c r="AD196" s="83"/>
      <c r="AE196" s="83"/>
      <c r="AF196" s="83"/>
    </row>
    <row r="197" spans="2:32" x14ac:dyDescent="0.25">
      <c r="B197" s="82"/>
      <c r="U197" s="84"/>
      <c r="W197" s="84"/>
      <c r="X197" s="84"/>
      <c r="AB197" s="84"/>
      <c r="AD197" s="83"/>
      <c r="AE197" s="83"/>
      <c r="AF197" s="83"/>
    </row>
    <row r="198" spans="2:32" x14ac:dyDescent="0.25">
      <c r="B198" s="82"/>
      <c r="U198" s="84"/>
      <c r="W198" s="84"/>
      <c r="X198" s="84"/>
      <c r="AB198" s="84"/>
      <c r="AD198" s="83"/>
      <c r="AE198" s="83"/>
      <c r="AF198" s="83"/>
    </row>
    <row r="199" spans="2:32" x14ac:dyDescent="0.25">
      <c r="B199" s="82"/>
      <c r="U199" s="84"/>
      <c r="W199" s="84"/>
      <c r="X199" s="84"/>
      <c r="AB199" s="84"/>
      <c r="AD199" s="83"/>
      <c r="AE199" s="83"/>
      <c r="AF199" s="83"/>
    </row>
    <row r="200" spans="2:32" x14ac:dyDescent="0.25">
      <c r="B200" s="82"/>
      <c r="U200" s="84"/>
      <c r="W200" s="84"/>
      <c r="X200" s="84"/>
      <c r="AB200" s="84"/>
      <c r="AD200" s="83"/>
      <c r="AE200" s="83"/>
      <c r="AF200" s="83"/>
    </row>
    <row r="201" spans="2:32" x14ac:dyDescent="0.25">
      <c r="B201" s="82"/>
      <c r="U201" s="84"/>
      <c r="W201" s="84"/>
      <c r="X201" s="84"/>
      <c r="AB201" s="84"/>
      <c r="AD201" s="83"/>
      <c r="AE201" s="83"/>
      <c r="AF201" s="83"/>
    </row>
    <row r="202" spans="2:32" x14ac:dyDescent="0.25">
      <c r="B202" s="82"/>
      <c r="U202" s="84"/>
      <c r="W202" s="84"/>
      <c r="X202" s="84"/>
      <c r="AB202" s="84"/>
      <c r="AD202" s="83"/>
      <c r="AE202" s="83"/>
      <c r="AF202" s="83"/>
    </row>
    <row r="203" spans="2:32" x14ac:dyDescent="0.25">
      <c r="B203" s="82"/>
      <c r="U203" s="84"/>
      <c r="W203" s="84"/>
      <c r="X203" s="84"/>
      <c r="AB203" s="84"/>
      <c r="AD203" s="83"/>
      <c r="AE203" s="83"/>
      <c r="AF203" s="83"/>
    </row>
    <row r="204" spans="2:32" x14ac:dyDescent="0.25">
      <c r="B204" s="82"/>
      <c r="U204" s="84"/>
      <c r="W204" s="84"/>
      <c r="X204" s="84"/>
      <c r="AB204" s="84"/>
      <c r="AD204" s="83"/>
      <c r="AE204" s="83"/>
      <c r="AF204" s="83"/>
    </row>
    <row r="205" spans="2:32" x14ac:dyDescent="0.25">
      <c r="B205" s="82"/>
      <c r="U205" s="84"/>
      <c r="W205" s="84"/>
      <c r="X205" s="84"/>
      <c r="AB205" s="84"/>
      <c r="AD205" s="83"/>
      <c r="AE205" s="83"/>
      <c r="AF205" s="83"/>
    </row>
    <row r="206" spans="2:32" x14ac:dyDescent="0.25">
      <c r="B206" s="82"/>
      <c r="U206" s="84"/>
      <c r="W206" s="84"/>
      <c r="X206" s="84"/>
      <c r="AB206" s="84"/>
      <c r="AD206" s="83"/>
      <c r="AE206" s="83"/>
      <c r="AF206" s="83"/>
    </row>
    <row r="207" spans="2:32" x14ac:dyDescent="0.25">
      <c r="B207" s="82"/>
      <c r="U207" s="84"/>
      <c r="W207" s="84"/>
      <c r="X207" s="84"/>
      <c r="AB207" s="84"/>
      <c r="AD207" s="83"/>
      <c r="AE207" s="83"/>
      <c r="AF207" s="83"/>
    </row>
    <row r="208" spans="2:32" x14ac:dyDescent="0.25">
      <c r="B208" s="82"/>
      <c r="U208" s="84"/>
      <c r="W208" s="84"/>
      <c r="X208" s="84"/>
      <c r="AB208" s="84"/>
      <c r="AD208" s="83"/>
      <c r="AE208" s="83"/>
      <c r="AF208" s="83"/>
    </row>
    <row r="209" spans="2:32" x14ac:dyDescent="0.25">
      <c r="B209" s="82"/>
      <c r="U209" s="84"/>
      <c r="W209" s="84"/>
      <c r="X209" s="84"/>
      <c r="AB209" s="84"/>
      <c r="AD209" s="83"/>
      <c r="AE209" s="83"/>
      <c r="AF209" s="83"/>
    </row>
    <row r="210" spans="2:32" x14ac:dyDescent="0.25">
      <c r="B210" s="82"/>
      <c r="U210" s="84"/>
      <c r="W210" s="84"/>
      <c r="X210" s="84"/>
      <c r="AB210" s="84"/>
      <c r="AD210" s="83"/>
      <c r="AE210" s="83"/>
      <c r="AF210" s="83"/>
    </row>
    <row r="211" spans="2:32" x14ac:dyDescent="0.25">
      <c r="B211" s="82"/>
      <c r="U211" s="84"/>
      <c r="W211" s="84"/>
      <c r="X211" s="84"/>
      <c r="AB211" s="84"/>
      <c r="AD211" s="83"/>
      <c r="AE211" s="83"/>
      <c r="AF211" s="83"/>
    </row>
    <row r="212" spans="2:32" x14ac:dyDescent="0.25">
      <c r="B212" s="82"/>
      <c r="U212" s="84"/>
      <c r="W212" s="84"/>
      <c r="X212" s="84"/>
      <c r="AB212" s="84"/>
      <c r="AD212" s="83"/>
      <c r="AE212" s="83"/>
      <c r="AF212" s="83"/>
    </row>
    <row r="213" spans="2:32" x14ac:dyDescent="0.25">
      <c r="B213" s="82"/>
      <c r="U213" s="84"/>
      <c r="W213" s="84"/>
      <c r="X213" s="84"/>
      <c r="AB213" s="84"/>
      <c r="AD213" s="83"/>
      <c r="AE213" s="83"/>
      <c r="AF213" s="83"/>
    </row>
    <row r="214" spans="2:32" x14ac:dyDescent="0.25">
      <c r="B214" s="82"/>
      <c r="U214" s="84"/>
      <c r="W214" s="84"/>
      <c r="X214" s="84"/>
      <c r="AB214" s="84"/>
      <c r="AD214" s="83"/>
      <c r="AE214" s="83"/>
      <c r="AF214" s="83"/>
    </row>
    <row r="215" spans="2:32" x14ac:dyDescent="0.25">
      <c r="B215" s="82"/>
      <c r="U215" s="84"/>
      <c r="W215" s="84"/>
      <c r="X215" s="84"/>
      <c r="AB215" s="84"/>
      <c r="AD215" s="83"/>
      <c r="AE215" s="83"/>
      <c r="AF215" s="83"/>
    </row>
    <row r="216" spans="2:32" x14ac:dyDescent="0.25">
      <c r="B216" s="82"/>
      <c r="U216" s="84"/>
      <c r="W216" s="84"/>
      <c r="X216" s="84"/>
      <c r="AB216" s="84"/>
      <c r="AD216" s="83"/>
      <c r="AE216" s="83"/>
      <c r="AF216" s="83"/>
    </row>
    <row r="217" spans="2:32" x14ac:dyDescent="0.25">
      <c r="B217" s="82"/>
      <c r="U217" s="84"/>
      <c r="W217" s="84"/>
      <c r="X217" s="84"/>
      <c r="AB217" s="84"/>
      <c r="AD217" s="83"/>
      <c r="AE217" s="83"/>
      <c r="AF217" s="83"/>
    </row>
    <row r="218" spans="2:32" x14ac:dyDescent="0.25">
      <c r="B218" s="82"/>
      <c r="U218" s="84"/>
      <c r="W218" s="84"/>
      <c r="X218" s="84"/>
      <c r="AB218" s="84"/>
      <c r="AD218" s="83"/>
      <c r="AE218" s="83"/>
      <c r="AF218" s="83"/>
    </row>
    <row r="219" spans="2:32" x14ac:dyDescent="0.25">
      <c r="B219" s="82"/>
      <c r="U219" s="84"/>
      <c r="W219" s="84"/>
      <c r="X219" s="84"/>
      <c r="AB219" s="84"/>
      <c r="AD219" s="83"/>
      <c r="AE219" s="83"/>
      <c r="AF219" s="83"/>
    </row>
    <row r="220" spans="2:32" x14ac:dyDescent="0.25">
      <c r="B220" s="82"/>
      <c r="U220" s="84"/>
      <c r="W220" s="84"/>
      <c r="X220" s="84"/>
      <c r="AB220" s="84"/>
      <c r="AD220" s="83"/>
      <c r="AE220" s="83"/>
      <c r="AF220" s="83"/>
    </row>
    <row r="221" spans="2:32" x14ac:dyDescent="0.25">
      <c r="B221" s="82"/>
      <c r="U221" s="84"/>
      <c r="W221" s="84"/>
      <c r="X221" s="84"/>
      <c r="AB221" s="84"/>
      <c r="AD221" s="83"/>
      <c r="AE221" s="83"/>
      <c r="AF221" s="83"/>
    </row>
    <row r="222" spans="2:32" x14ac:dyDescent="0.25">
      <c r="B222" s="82"/>
      <c r="U222" s="84"/>
      <c r="W222" s="84"/>
      <c r="X222" s="84"/>
      <c r="AB222" s="84"/>
      <c r="AD222" s="83"/>
      <c r="AE222" s="83"/>
      <c r="AF222" s="83"/>
    </row>
    <row r="223" spans="2:32" x14ac:dyDescent="0.25">
      <c r="B223" s="82"/>
      <c r="U223" s="84"/>
      <c r="W223" s="84"/>
      <c r="X223" s="84"/>
      <c r="AB223" s="84"/>
      <c r="AD223" s="83"/>
      <c r="AE223" s="83"/>
      <c r="AF223" s="83"/>
    </row>
    <row r="224" spans="2:32" x14ac:dyDescent="0.25">
      <c r="B224" s="82"/>
      <c r="U224" s="84"/>
      <c r="W224" s="84"/>
      <c r="X224" s="84"/>
      <c r="AB224" s="84"/>
      <c r="AD224" s="83"/>
      <c r="AE224" s="83"/>
      <c r="AF224" s="83"/>
    </row>
    <row r="225" spans="2:32" x14ac:dyDescent="0.25">
      <c r="B225" s="82"/>
      <c r="U225" s="84"/>
      <c r="W225" s="84"/>
      <c r="X225" s="84"/>
      <c r="AB225" s="84"/>
      <c r="AD225" s="83"/>
      <c r="AE225" s="83"/>
      <c r="AF225" s="83"/>
    </row>
    <row r="226" spans="2:32" x14ac:dyDescent="0.25">
      <c r="B226" s="82"/>
      <c r="U226" s="84"/>
      <c r="W226" s="84"/>
      <c r="X226" s="84"/>
      <c r="AB226" s="84"/>
      <c r="AD226" s="83"/>
      <c r="AE226" s="83"/>
      <c r="AF226" s="83"/>
    </row>
    <row r="227" spans="2:32" x14ac:dyDescent="0.25">
      <c r="B227" s="82"/>
      <c r="U227" s="84"/>
      <c r="W227" s="84"/>
      <c r="X227" s="84"/>
      <c r="AB227" s="84"/>
      <c r="AD227" s="83"/>
      <c r="AE227" s="83"/>
      <c r="AF227" s="83"/>
    </row>
    <row r="228" spans="2:32" x14ac:dyDescent="0.25">
      <c r="B228" s="82"/>
      <c r="U228" s="84"/>
      <c r="W228" s="84"/>
      <c r="X228" s="84"/>
      <c r="AB228" s="84"/>
      <c r="AD228" s="83"/>
      <c r="AE228" s="83"/>
      <c r="AF228" s="83"/>
    </row>
    <row r="229" spans="2:32" x14ac:dyDescent="0.25">
      <c r="B229" s="82"/>
      <c r="U229" s="84"/>
      <c r="W229" s="84"/>
      <c r="X229" s="84"/>
      <c r="AB229" s="84"/>
      <c r="AD229" s="83"/>
      <c r="AE229" s="83"/>
      <c r="AF229" s="83"/>
    </row>
    <row r="230" spans="2:32" x14ac:dyDescent="0.25">
      <c r="B230" s="82"/>
      <c r="U230" s="84"/>
      <c r="W230" s="84"/>
      <c r="X230" s="84"/>
      <c r="AB230" s="84"/>
      <c r="AD230" s="83"/>
      <c r="AE230" s="83"/>
      <c r="AF230" s="83"/>
    </row>
    <row r="231" spans="2:32" x14ac:dyDescent="0.25">
      <c r="B231" s="82"/>
      <c r="U231" s="84"/>
      <c r="W231" s="84"/>
      <c r="X231" s="84"/>
      <c r="AB231" s="84"/>
      <c r="AD231" s="83"/>
      <c r="AE231" s="83"/>
      <c r="AF231" s="83"/>
    </row>
    <row r="232" spans="2:32" x14ac:dyDescent="0.25">
      <c r="B232" s="82"/>
      <c r="U232" s="84"/>
      <c r="W232" s="84"/>
      <c r="X232" s="84"/>
      <c r="AB232" s="84"/>
      <c r="AD232" s="83"/>
      <c r="AE232" s="83"/>
      <c r="AF232" s="83"/>
    </row>
    <row r="233" spans="2:32" x14ac:dyDescent="0.25">
      <c r="B233" s="82"/>
      <c r="U233" s="84"/>
      <c r="W233" s="84"/>
      <c r="X233" s="84"/>
      <c r="AB233" s="84"/>
      <c r="AD233" s="83"/>
      <c r="AE233" s="83"/>
      <c r="AF233" s="83"/>
    </row>
    <row r="234" spans="2:32" x14ac:dyDescent="0.25">
      <c r="B234" s="82"/>
      <c r="U234" s="84"/>
      <c r="W234" s="84"/>
      <c r="X234" s="84"/>
      <c r="AB234" s="84"/>
      <c r="AD234" s="83"/>
      <c r="AE234" s="83"/>
      <c r="AF234" s="83"/>
    </row>
    <row r="235" spans="2:32" x14ac:dyDescent="0.25">
      <c r="B235" s="82"/>
      <c r="U235" s="84"/>
      <c r="W235" s="84"/>
      <c r="X235" s="84"/>
      <c r="AB235" s="84"/>
      <c r="AD235" s="83"/>
      <c r="AE235" s="83"/>
      <c r="AF235" s="83"/>
    </row>
    <row r="236" spans="2:32" x14ac:dyDescent="0.25">
      <c r="B236" s="82"/>
      <c r="U236" s="84"/>
      <c r="W236" s="84"/>
      <c r="X236" s="84"/>
      <c r="AB236" s="84"/>
      <c r="AD236" s="83"/>
      <c r="AE236" s="83"/>
      <c r="AF236" s="83"/>
    </row>
    <row r="237" spans="2:32" x14ac:dyDescent="0.25">
      <c r="B237" s="82"/>
      <c r="U237" s="84"/>
      <c r="W237" s="84"/>
      <c r="X237" s="84"/>
      <c r="AB237" s="84"/>
      <c r="AD237" s="83"/>
      <c r="AE237" s="83"/>
      <c r="AF237" s="83"/>
    </row>
    <row r="238" spans="2:32" x14ac:dyDescent="0.25">
      <c r="B238" s="82"/>
      <c r="U238" s="84"/>
      <c r="W238" s="84"/>
      <c r="X238" s="84"/>
      <c r="AB238" s="84"/>
      <c r="AD238" s="83"/>
      <c r="AE238" s="83"/>
      <c r="AF238" s="83"/>
    </row>
    <row r="239" spans="2:32" x14ac:dyDescent="0.25">
      <c r="B239" s="82"/>
      <c r="U239" s="84"/>
      <c r="W239" s="84"/>
      <c r="X239" s="84"/>
      <c r="AB239" s="84"/>
      <c r="AD239" s="83"/>
      <c r="AE239" s="83"/>
      <c r="AF239" s="83"/>
    </row>
    <row r="240" spans="2:32" x14ac:dyDescent="0.25">
      <c r="B240" s="82"/>
      <c r="U240" s="84"/>
      <c r="W240" s="84"/>
      <c r="X240" s="84"/>
      <c r="AB240" s="84"/>
      <c r="AD240" s="83"/>
      <c r="AE240" s="83"/>
      <c r="AF240" s="83"/>
    </row>
    <row r="241" spans="2:32" x14ac:dyDescent="0.25">
      <c r="B241" s="82"/>
      <c r="U241" s="84"/>
      <c r="W241" s="84"/>
      <c r="X241" s="84"/>
      <c r="AB241" s="84"/>
      <c r="AD241" s="83"/>
      <c r="AE241" s="83"/>
      <c r="AF241" s="83"/>
    </row>
    <row r="242" spans="2:32" x14ac:dyDescent="0.25">
      <c r="B242" s="82"/>
      <c r="U242" s="84"/>
      <c r="W242" s="84"/>
      <c r="X242" s="84"/>
      <c r="AB242" s="84"/>
      <c r="AD242" s="83"/>
      <c r="AE242" s="83"/>
      <c r="AF242" s="83"/>
    </row>
    <row r="243" spans="2:32" x14ac:dyDescent="0.25">
      <c r="B243" s="82"/>
      <c r="U243" s="84"/>
      <c r="W243" s="84"/>
      <c r="X243" s="84"/>
      <c r="AB243" s="84"/>
      <c r="AD243" s="83"/>
      <c r="AE243" s="83"/>
      <c r="AF243" s="83"/>
    </row>
    <row r="244" spans="2:32" x14ac:dyDescent="0.25">
      <c r="B244" s="82"/>
      <c r="U244" s="84"/>
      <c r="W244" s="84"/>
      <c r="X244" s="84"/>
      <c r="AB244" s="84"/>
      <c r="AD244" s="83"/>
      <c r="AE244" s="83"/>
      <c r="AF244" s="83"/>
    </row>
    <row r="245" spans="2:32" x14ac:dyDescent="0.25">
      <c r="B245" s="82"/>
      <c r="U245" s="84"/>
      <c r="W245" s="84"/>
      <c r="X245" s="84"/>
      <c r="AB245" s="84"/>
      <c r="AD245" s="83"/>
      <c r="AE245" s="83"/>
      <c r="AF245" s="83"/>
    </row>
    <row r="246" spans="2:32" x14ac:dyDescent="0.25">
      <c r="B246" s="82"/>
      <c r="U246" s="84"/>
      <c r="W246" s="84"/>
      <c r="X246" s="84"/>
      <c r="AB246" s="84"/>
      <c r="AD246" s="83"/>
      <c r="AE246" s="83"/>
      <c r="AF246" s="83"/>
    </row>
    <row r="247" spans="2:32" x14ac:dyDescent="0.25">
      <c r="B247" s="82"/>
      <c r="U247" s="84"/>
      <c r="W247" s="84"/>
      <c r="X247" s="84"/>
      <c r="AB247" s="84"/>
      <c r="AD247" s="83"/>
      <c r="AE247" s="83"/>
      <c r="AF247" s="83"/>
    </row>
    <row r="248" spans="2:32" x14ac:dyDescent="0.25">
      <c r="B248" s="82"/>
      <c r="U248" s="84"/>
      <c r="W248" s="84"/>
      <c r="X248" s="84"/>
      <c r="AB248" s="84"/>
      <c r="AD248" s="83"/>
      <c r="AE248" s="83"/>
      <c r="AF248" s="83"/>
    </row>
    <row r="249" spans="2:32" x14ac:dyDescent="0.25">
      <c r="B249" s="82"/>
      <c r="U249" s="84"/>
      <c r="W249" s="84"/>
      <c r="X249" s="84"/>
      <c r="AB249" s="84"/>
      <c r="AD249" s="83"/>
      <c r="AE249" s="83"/>
      <c r="AF249" s="83"/>
    </row>
    <row r="250" spans="2:32" x14ac:dyDescent="0.25">
      <c r="B250" s="82"/>
      <c r="U250" s="84"/>
      <c r="W250" s="84"/>
      <c r="X250" s="84"/>
      <c r="AB250" s="84"/>
      <c r="AD250" s="83"/>
      <c r="AE250" s="83"/>
      <c r="AF250" s="83"/>
    </row>
    <row r="251" spans="2:32" x14ac:dyDescent="0.25">
      <c r="B251" s="82"/>
      <c r="U251" s="84"/>
      <c r="W251" s="84"/>
      <c r="X251" s="84"/>
      <c r="AB251" s="84"/>
      <c r="AD251" s="83"/>
      <c r="AE251" s="83"/>
      <c r="AF251" s="83"/>
    </row>
    <row r="252" spans="2:32" x14ac:dyDescent="0.25">
      <c r="B252" s="82"/>
      <c r="U252" s="84"/>
      <c r="W252" s="84"/>
      <c r="X252" s="84"/>
      <c r="AB252" s="84"/>
      <c r="AD252" s="83"/>
      <c r="AE252" s="83"/>
      <c r="AF252" s="83"/>
    </row>
    <row r="253" spans="2:32" x14ac:dyDescent="0.25">
      <c r="B253" s="82"/>
      <c r="U253" s="84"/>
      <c r="W253" s="84"/>
      <c r="X253" s="84"/>
      <c r="AB253" s="84"/>
      <c r="AD253" s="83"/>
      <c r="AE253" s="83"/>
      <c r="AF253" s="83"/>
    </row>
    <row r="254" spans="2:32" x14ac:dyDescent="0.25">
      <c r="B254" s="82"/>
      <c r="U254" s="84"/>
      <c r="W254" s="84"/>
      <c r="X254" s="84"/>
      <c r="AB254" s="84"/>
      <c r="AD254" s="83"/>
      <c r="AE254" s="83"/>
      <c r="AF254" s="83"/>
    </row>
    <row r="255" spans="2:32" x14ac:dyDescent="0.25">
      <c r="B255" s="82"/>
      <c r="U255" s="84"/>
      <c r="W255" s="84"/>
      <c r="X255" s="84"/>
      <c r="AB255" s="84"/>
      <c r="AD255" s="83"/>
      <c r="AE255" s="83"/>
      <c r="AF255" s="83"/>
    </row>
    <row r="256" spans="2:32" x14ac:dyDescent="0.25">
      <c r="B256" s="82"/>
      <c r="U256" s="84"/>
      <c r="W256" s="84"/>
      <c r="X256" s="84"/>
      <c r="AB256" s="84"/>
      <c r="AD256" s="83"/>
      <c r="AE256" s="83"/>
      <c r="AF256" s="83"/>
    </row>
    <row r="257" spans="2:32" x14ac:dyDescent="0.25">
      <c r="B257" s="82"/>
      <c r="U257" s="84"/>
      <c r="W257" s="84"/>
      <c r="X257" s="84"/>
      <c r="AB257" s="84"/>
      <c r="AD257" s="83"/>
      <c r="AE257" s="83"/>
      <c r="AF257" s="83"/>
    </row>
    <row r="258" spans="2:32" x14ac:dyDescent="0.25">
      <c r="B258" s="82"/>
      <c r="U258" s="84"/>
      <c r="W258" s="84"/>
      <c r="X258" s="84"/>
      <c r="AB258" s="84"/>
      <c r="AD258" s="83"/>
      <c r="AE258" s="83"/>
      <c r="AF258" s="83"/>
    </row>
    <row r="259" spans="2:32" x14ac:dyDescent="0.25">
      <c r="B259" s="82"/>
      <c r="U259" s="84"/>
      <c r="W259" s="84"/>
      <c r="X259" s="84"/>
      <c r="AB259" s="84"/>
      <c r="AD259" s="83"/>
      <c r="AE259" s="83"/>
      <c r="AF259" s="83"/>
    </row>
    <row r="260" spans="2:32" x14ac:dyDescent="0.25">
      <c r="B260" s="82"/>
      <c r="U260" s="84"/>
      <c r="W260" s="84"/>
      <c r="X260" s="84"/>
      <c r="AB260" s="84"/>
      <c r="AD260" s="83"/>
      <c r="AE260" s="83"/>
      <c r="AF260" s="83"/>
    </row>
    <row r="261" spans="2:32" x14ac:dyDescent="0.25">
      <c r="B261" s="82"/>
      <c r="U261" s="84"/>
      <c r="W261" s="84"/>
      <c r="X261" s="84"/>
      <c r="AB261" s="84"/>
      <c r="AD261" s="83"/>
      <c r="AE261" s="83"/>
      <c r="AF261" s="83"/>
    </row>
    <row r="262" spans="2:32" x14ac:dyDescent="0.25">
      <c r="B262" s="82"/>
      <c r="U262" s="84"/>
      <c r="W262" s="84"/>
      <c r="X262" s="84"/>
      <c r="AB262" s="84"/>
      <c r="AD262" s="83"/>
      <c r="AE262" s="83"/>
      <c r="AF262" s="83"/>
    </row>
    <row r="263" spans="2:32" x14ac:dyDescent="0.25">
      <c r="B263" s="82"/>
      <c r="U263" s="84"/>
      <c r="W263" s="84"/>
      <c r="X263" s="84"/>
      <c r="AB263" s="84"/>
      <c r="AD263" s="83"/>
      <c r="AE263" s="83"/>
      <c r="AF263" s="83"/>
    </row>
    <row r="264" spans="2:32" x14ac:dyDescent="0.25">
      <c r="B264" s="82"/>
      <c r="U264" s="84"/>
      <c r="W264" s="84"/>
      <c r="X264" s="84"/>
      <c r="AB264" s="84"/>
      <c r="AD264" s="83"/>
      <c r="AE264" s="83"/>
      <c r="AF264" s="83"/>
    </row>
    <row r="265" spans="2:32" x14ac:dyDescent="0.25">
      <c r="B265" s="82"/>
      <c r="U265" s="84"/>
      <c r="W265" s="84"/>
      <c r="X265" s="84"/>
      <c r="AB265" s="84"/>
      <c r="AD265" s="83"/>
      <c r="AE265" s="83"/>
      <c r="AF265" s="83"/>
    </row>
    <row r="266" spans="2:32" x14ac:dyDescent="0.25">
      <c r="B266" s="82"/>
      <c r="U266" s="84"/>
      <c r="W266" s="84"/>
      <c r="X266" s="84"/>
      <c r="AB266" s="84"/>
      <c r="AD266" s="83"/>
      <c r="AE266" s="83"/>
      <c r="AF266" s="83"/>
    </row>
    <row r="267" spans="2:32" x14ac:dyDescent="0.25">
      <c r="B267" s="82"/>
      <c r="U267" s="84"/>
      <c r="W267" s="84"/>
      <c r="X267" s="84"/>
      <c r="AB267" s="84"/>
      <c r="AD267" s="83"/>
      <c r="AE267" s="83"/>
      <c r="AF267" s="83"/>
    </row>
    <row r="268" spans="2:32" x14ac:dyDescent="0.25">
      <c r="B268" s="82"/>
      <c r="U268" s="84"/>
      <c r="W268" s="84"/>
      <c r="X268" s="84"/>
      <c r="AB268" s="84"/>
      <c r="AD268" s="83"/>
      <c r="AE268" s="83"/>
      <c r="AF268" s="83"/>
    </row>
    <row r="269" spans="2:32" x14ac:dyDescent="0.25">
      <c r="B269" s="82"/>
      <c r="U269" s="84"/>
      <c r="W269" s="84"/>
      <c r="X269" s="84"/>
      <c r="AB269" s="84"/>
      <c r="AD269" s="83"/>
      <c r="AE269" s="83"/>
      <c r="AF269" s="83"/>
    </row>
    <row r="270" spans="2:32" x14ac:dyDescent="0.25">
      <c r="B270" s="82"/>
      <c r="U270" s="84"/>
      <c r="W270" s="84"/>
      <c r="X270" s="84"/>
      <c r="AB270" s="84"/>
      <c r="AD270" s="83"/>
      <c r="AE270" s="83"/>
      <c r="AF270" s="83"/>
    </row>
    <row r="271" spans="2:32" x14ac:dyDescent="0.25">
      <c r="B271" s="82"/>
      <c r="U271" s="84"/>
      <c r="W271" s="84"/>
      <c r="X271" s="84"/>
      <c r="AB271" s="84"/>
      <c r="AD271" s="83"/>
      <c r="AE271" s="83"/>
      <c r="AF271" s="83"/>
    </row>
    <row r="272" spans="2:32" x14ac:dyDescent="0.25">
      <c r="B272" s="82"/>
      <c r="U272" s="84"/>
      <c r="W272" s="84"/>
      <c r="X272" s="84"/>
      <c r="AB272" s="84"/>
      <c r="AD272" s="83"/>
      <c r="AE272" s="83"/>
      <c r="AF272" s="83"/>
    </row>
    <row r="273" spans="2:32" x14ac:dyDescent="0.25">
      <c r="B273" s="82"/>
      <c r="U273" s="84"/>
      <c r="W273" s="84"/>
      <c r="X273" s="84"/>
      <c r="AB273" s="84"/>
      <c r="AD273" s="83"/>
      <c r="AE273" s="83"/>
      <c r="AF273" s="83"/>
    </row>
    <row r="274" spans="2:32" x14ac:dyDescent="0.25">
      <c r="B274" s="82"/>
      <c r="U274" s="84"/>
      <c r="W274" s="84"/>
      <c r="X274" s="84"/>
      <c r="AB274" s="84"/>
      <c r="AD274" s="83"/>
      <c r="AE274" s="83"/>
      <c r="AF274" s="83"/>
    </row>
    <row r="275" spans="2:32" x14ac:dyDescent="0.25">
      <c r="B275" s="82"/>
      <c r="U275" s="84"/>
      <c r="W275" s="84"/>
      <c r="X275" s="84"/>
      <c r="AB275" s="84"/>
      <c r="AD275" s="83"/>
      <c r="AE275" s="83"/>
      <c r="AF275" s="83"/>
    </row>
    <row r="276" spans="2:32" x14ac:dyDescent="0.25">
      <c r="B276" s="82"/>
      <c r="U276" s="84"/>
      <c r="W276" s="84"/>
      <c r="X276" s="84"/>
      <c r="AB276" s="84"/>
      <c r="AD276" s="83"/>
      <c r="AE276" s="83"/>
      <c r="AF276" s="83"/>
    </row>
    <row r="277" spans="2:32" x14ac:dyDescent="0.25">
      <c r="B277" s="82"/>
      <c r="U277" s="84"/>
      <c r="W277" s="84"/>
      <c r="X277" s="84"/>
      <c r="AB277" s="84"/>
      <c r="AD277" s="83"/>
      <c r="AE277" s="83"/>
      <c r="AF277" s="83"/>
    </row>
    <row r="278" spans="2:32" x14ac:dyDescent="0.25">
      <c r="B278" s="82"/>
      <c r="U278" s="84"/>
      <c r="W278" s="84"/>
      <c r="X278" s="84"/>
      <c r="AB278" s="84"/>
      <c r="AD278" s="83"/>
      <c r="AE278" s="83"/>
      <c r="AF278" s="83"/>
    </row>
    <row r="279" spans="2:32" x14ac:dyDescent="0.25">
      <c r="B279" s="82"/>
      <c r="U279" s="84"/>
      <c r="W279" s="84"/>
      <c r="X279" s="84"/>
      <c r="AB279" s="84"/>
      <c r="AD279" s="83"/>
      <c r="AE279" s="83"/>
      <c r="AF279" s="83"/>
    </row>
    <row r="280" spans="2:32" x14ac:dyDescent="0.25">
      <c r="B280" s="82"/>
      <c r="U280" s="84"/>
      <c r="W280" s="84"/>
      <c r="X280" s="84"/>
      <c r="AB280" s="84"/>
      <c r="AD280" s="83"/>
      <c r="AE280" s="83"/>
      <c r="AF280" s="83"/>
    </row>
    <row r="281" spans="2:32" x14ac:dyDescent="0.25">
      <c r="B281" s="82"/>
      <c r="U281" s="84"/>
      <c r="W281" s="84"/>
      <c r="X281" s="84"/>
      <c r="AB281" s="84"/>
      <c r="AD281" s="83"/>
      <c r="AE281" s="83"/>
      <c r="AF281" s="83"/>
    </row>
    <row r="282" spans="2:32" x14ac:dyDescent="0.25">
      <c r="B282" s="82"/>
      <c r="U282" s="84"/>
      <c r="W282" s="84"/>
      <c r="X282" s="84"/>
      <c r="AB282" s="84"/>
      <c r="AD282" s="83"/>
      <c r="AE282" s="83"/>
      <c r="AF282" s="83"/>
    </row>
    <row r="283" spans="2:32" x14ac:dyDescent="0.25">
      <c r="B283" s="82"/>
      <c r="U283" s="84"/>
      <c r="W283" s="84"/>
      <c r="X283" s="84"/>
      <c r="AB283" s="84"/>
      <c r="AD283" s="83"/>
      <c r="AE283" s="83"/>
      <c r="AF283" s="83"/>
    </row>
    <row r="284" spans="2:32" x14ac:dyDescent="0.25">
      <c r="B284" s="82"/>
      <c r="U284" s="84"/>
      <c r="W284" s="84"/>
      <c r="X284" s="84"/>
      <c r="AB284" s="84"/>
      <c r="AD284" s="83"/>
      <c r="AE284" s="83"/>
      <c r="AF284" s="83"/>
    </row>
    <row r="285" spans="2:32" x14ac:dyDescent="0.25">
      <c r="B285" s="82"/>
      <c r="U285" s="84"/>
      <c r="W285" s="84"/>
      <c r="X285" s="84"/>
      <c r="AB285" s="84"/>
      <c r="AD285" s="83"/>
      <c r="AE285" s="83"/>
      <c r="AF285" s="83"/>
    </row>
    <row r="286" spans="2:32" x14ac:dyDescent="0.25">
      <c r="B286" s="82"/>
      <c r="U286" s="84"/>
      <c r="W286" s="84"/>
      <c r="X286" s="84"/>
      <c r="AB286" s="84"/>
      <c r="AD286" s="83"/>
      <c r="AE286" s="83"/>
      <c r="AF286" s="83"/>
    </row>
    <row r="287" spans="2:32" x14ac:dyDescent="0.25">
      <c r="B287" s="82"/>
      <c r="U287" s="84"/>
      <c r="W287" s="84"/>
      <c r="X287" s="84"/>
      <c r="AB287" s="84"/>
      <c r="AD287" s="83"/>
      <c r="AE287" s="83"/>
      <c r="AF287" s="83"/>
    </row>
    <row r="288" spans="2:32" x14ac:dyDescent="0.25">
      <c r="B288" s="82"/>
      <c r="U288" s="84"/>
      <c r="W288" s="84"/>
      <c r="X288" s="84"/>
      <c r="AB288" s="84"/>
      <c r="AD288" s="83"/>
      <c r="AE288" s="83"/>
      <c r="AF288" s="83"/>
    </row>
    <row r="289" spans="2:32" x14ac:dyDescent="0.25">
      <c r="B289" s="82"/>
      <c r="U289" s="84"/>
      <c r="W289" s="84"/>
      <c r="X289" s="84"/>
      <c r="AB289" s="84"/>
      <c r="AD289" s="83"/>
      <c r="AE289" s="83"/>
      <c r="AF289" s="83"/>
    </row>
    <row r="290" spans="2:32" x14ac:dyDescent="0.25">
      <c r="B290" s="82"/>
      <c r="U290" s="84"/>
      <c r="W290" s="84"/>
      <c r="X290" s="84"/>
      <c r="AB290" s="84"/>
      <c r="AD290" s="83"/>
      <c r="AE290" s="83"/>
      <c r="AF290" s="83"/>
    </row>
    <row r="291" spans="2:32" x14ac:dyDescent="0.25">
      <c r="B291" s="82"/>
      <c r="U291" s="84"/>
      <c r="W291" s="84"/>
      <c r="X291" s="84"/>
      <c r="AB291" s="84"/>
      <c r="AD291" s="83"/>
      <c r="AE291" s="83"/>
      <c r="AF291" s="83"/>
    </row>
    <row r="292" spans="2:32" x14ac:dyDescent="0.25">
      <c r="B292" s="82"/>
      <c r="U292" s="84"/>
      <c r="W292" s="84"/>
      <c r="X292" s="84"/>
      <c r="AB292" s="84"/>
      <c r="AD292" s="83"/>
      <c r="AE292" s="83"/>
      <c r="AF292" s="83"/>
    </row>
    <row r="293" spans="2:32" x14ac:dyDescent="0.25">
      <c r="B293" s="82"/>
      <c r="U293" s="84"/>
      <c r="W293" s="84"/>
      <c r="X293" s="84"/>
      <c r="AB293" s="84"/>
      <c r="AD293" s="83"/>
      <c r="AE293" s="83"/>
      <c r="AF293" s="83"/>
    </row>
    <row r="294" spans="2:32" x14ac:dyDescent="0.25">
      <c r="B294" s="82"/>
      <c r="U294" s="84"/>
      <c r="W294" s="84"/>
      <c r="X294" s="84"/>
      <c r="AB294" s="84"/>
      <c r="AD294" s="83"/>
      <c r="AE294" s="83"/>
      <c r="AF294" s="83"/>
    </row>
    <row r="295" spans="2:32" x14ac:dyDescent="0.25">
      <c r="B295" s="82"/>
      <c r="U295" s="84"/>
      <c r="W295" s="84"/>
      <c r="X295" s="84"/>
      <c r="AB295" s="84"/>
      <c r="AD295" s="83"/>
      <c r="AE295" s="83"/>
      <c r="AF295" s="83"/>
    </row>
  </sheetData>
  <conditionalFormatting sqref="T1">
    <cfRule type="cellIs" dxfId="21" priority="804" operator="lessThan">
      <formula>14</formula>
    </cfRule>
    <cfRule type="cellIs" dxfId="20" priority="805" operator="greaterThan">
      <formula>14</formula>
    </cfRule>
  </conditionalFormatting>
  <conditionalFormatting sqref="B217:B295">
    <cfRule type="duplicateValues" dxfId="19" priority="161"/>
  </conditionalFormatting>
  <conditionalFormatting sqref="B217:C295">
    <cfRule type="duplicateValues" dxfId="18" priority="162"/>
  </conditionalFormatting>
  <conditionalFormatting sqref="B217:B295">
    <cfRule type="duplicateValues" dxfId="17" priority="163"/>
  </conditionalFormatting>
  <conditionalFormatting sqref="B217:B295">
    <cfRule type="duplicateValues" dxfId="16" priority="164"/>
    <cfRule type="duplicateValues" dxfId="15" priority="165"/>
  </conditionalFormatting>
  <conditionalFormatting sqref="B98:B216">
    <cfRule type="duplicateValues" dxfId="14" priority="156"/>
  </conditionalFormatting>
  <conditionalFormatting sqref="B98:C216">
    <cfRule type="duplicateValues" dxfId="13" priority="157"/>
  </conditionalFormatting>
  <conditionalFormatting sqref="B98:B216">
    <cfRule type="duplicateValues" dxfId="12" priority="158"/>
  </conditionalFormatting>
  <conditionalFormatting sqref="B98:B216">
    <cfRule type="duplicateValues" dxfId="11" priority="159"/>
    <cfRule type="duplicateValues" dxfId="10" priority="160"/>
  </conditionalFormatting>
  <conditionalFormatting sqref="B9:B97">
    <cfRule type="duplicateValues" dxfId="9" priority="6"/>
  </conditionalFormatting>
  <conditionalFormatting sqref="B9:C97">
    <cfRule type="duplicateValues" dxfId="8" priority="7"/>
  </conditionalFormatting>
  <conditionalFormatting sqref="B9:B97">
    <cfRule type="duplicateValues" dxfId="7" priority="8"/>
  </conditionalFormatting>
  <conditionalFormatting sqref="B9:B97">
    <cfRule type="duplicateValues" dxfId="6" priority="9"/>
    <cfRule type="duplicateValues" dxfId="5" priority="10"/>
  </conditionalFormatting>
  <conditionalFormatting sqref="B2:B8">
    <cfRule type="duplicateValues" dxfId="4" priority="1"/>
  </conditionalFormatting>
  <conditionalFormatting sqref="B2:C8">
    <cfRule type="duplicateValues" dxfId="3" priority="2"/>
  </conditionalFormatting>
  <conditionalFormatting sqref="B2:B8">
    <cfRule type="duplicateValues" dxfId="2" priority="3"/>
  </conditionalFormatting>
  <conditionalFormatting sqref="B2:B8">
    <cfRule type="duplicateValues" dxfId="1" priority="4"/>
    <cfRule type="duplicateValues" dxfId="0" priority="5"/>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6"/>
  <sheetViews>
    <sheetView topLeftCell="A611" workbookViewId="0">
      <selection activeCell="E624" sqref="E624"/>
    </sheetView>
  </sheetViews>
  <sheetFormatPr defaultColWidth="9.140625" defaultRowHeight="15" x14ac:dyDescent="0.2"/>
  <cols>
    <col min="1" max="1" width="9.140625" style="70"/>
    <col min="2" max="2" width="16.5703125" style="70" customWidth="1"/>
    <col min="3" max="3" width="14.28515625" style="70" customWidth="1"/>
    <col min="4" max="5" width="18" style="70" customWidth="1"/>
    <col min="6" max="6" width="14.140625" style="70" customWidth="1"/>
    <col min="7" max="7" width="14.5703125" style="70" customWidth="1"/>
    <col min="8" max="9" width="9.140625" style="70"/>
    <col min="10" max="10" width="20.140625" style="70" customWidth="1"/>
    <col min="11" max="11" width="14.140625" style="70" customWidth="1"/>
    <col min="12" max="12" width="18.5703125" style="70" customWidth="1"/>
    <col min="13" max="16384" width="9.140625" style="70"/>
  </cols>
  <sheetData>
    <row r="1" spans="1:7" ht="15.75" customHeight="1" x14ac:dyDescent="0.2">
      <c r="A1" s="123" t="s">
        <v>460</v>
      </c>
      <c r="B1" s="123"/>
      <c r="C1" s="123"/>
      <c r="D1" s="123"/>
      <c r="E1" s="123"/>
      <c r="F1" s="123"/>
      <c r="G1" s="123"/>
    </row>
    <row r="2" spans="1:7" x14ac:dyDescent="0.2">
      <c r="A2" s="124"/>
      <c r="B2" s="124"/>
      <c r="C2" s="124"/>
      <c r="D2" s="95"/>
    </row>
    <row r="3" spans="1:7" s="71" customFormat="1" ht="64.5" customHeight="1" x14ac:dyDescent="0.25">
      <c r="A3" s="77" t="s">
        <v>1</v>
      </c>
      <c r="B3" s="77" t="s">
        <v>441</v>
      </c>
      <c r="C3" s="85" t="s">
        <v>475</v>
      </c>
      <c r="D3" s="85" t="s">
        <v>477</v>
      </c>
      <c r="E3" s="86" t="s">
        <v>476</v>
      </c>
      <c r="F3" s="86" t="s">
        <v>457</v>
      </c>
      <c r="G3" s="78" t="s">
        <v>474</v>
      </c>
    </row>
    <row r="4" spans="1:7" x14ac:dyDescent="0.2">
      <c r="A4" s="72">
        <v>1</v>
      </c>
      <c r="B4" s="74">
        <v>43920</v>
      </c>
      <c r="C4" s="75">
        <v>8</v>
      </c>
      <c r="D4" s="75">
        <v>8</v>
      </c>
      <c r="E4" s="73">
        <v>0</v>
      </c>
      <c r="F4" s="73">
        <f>D4-E4</f>
        <v>8</v>
      </c>
      <c r="G4" s="73">
        <v>0</v>
      </c>
    </row>
    <row r="5" spans="1:7" x14ac:dyDescent="0.2">
      <c r="A5" s="72">
        <v>2</v>
      </c>
      <c r="B5" s="74">
        <v>43921</v>
      </c>
      <c r="C5" s="75">
        <v>0</v>
      </c>
      <c r="D5" s="75">
        <v>8</v>
      </c>
      <c r="E5" s="73">
        <v>0</v>
      </c>
      <c r="F5" s="73">
        <v>8</v>
      </c>
      <c r="G5" s="73">
        <v>0</v>
      </c>
    </row>
    <row r="6" spans="1:7" x14ac:dyDescent="0.2">
      <c r="A6" s="72">
        <v>3</v>
      </c>
      <c r="B6" s="74">
        <v>43922</v>
      </c>
      <c r="C6" s="75">
        <v>0</v>
      </c>
      <c r="D6" s="75">
        <v>8</v>
      </c>
      <c r="E6" s="73">
        <v>0</v>
      </c>
      <c r="F6" s="73">
        <v>8</v>
      </c>
      <c r="G6" s="73">
        <v>0</v>
      </c>
    </row>
    <row r="7" spans="1:7" x14ac:dyDescent="0.2">
      <c r="A7" s="72">
        <v>4</v>
      </c>
      <c r="B7" s="74">
        <v>43923</v>
      </c>
      <c r="C7" s="75">
        <v>1</v>
      </c>
      <c r="D7" s="75">
        <f>D4+C7</f>
        <v>9</v>
      </c>
      <c r="E7" s="73">
        <v>0</v>
      </c>
      <c r="F7" s="73">
        <f t="shared" ref="F7:F45" si="0">D7-E7</f>
        <v>9</v>
      </c>
      <c r="G7" s="73">
        <v>0</v>
      </c>
    </row>
    <row r="8" spans="1:7" x14ac:dyDescent="0.2">
      <c r="A8" s="72">
        <v>5</v>
      </c>
      <c r="B8" s="74">
        <v>43924</v>
      </c>
      <c r="C8" s="75">
        <v>0</v>
      </c>
      <c r="D8" s="75">
        <v>9</v>
      </c>
      <c r="E8" s="73">
        <v>0</v>
      </c>
      <c r="F8" s="73">
        <v>9</v>
      </c>
      <c r="G8" s="73">
        <v>0</v>
      </c>
    </row>
    <row r="9" spans="1:7" x14ac:dyDescent="0.2">
      <c r="A9" s="72">
        <v>6</v>
      </c>
      <c r="B9" s="74">
        <v>43925</v>
      </c>
      <c r="C9" s="75">
        <v>3</v>
      </c>
      <c r="D9" s="75">
        <f>D7+C9</f>
        <v>12</v>
      </c>
      <c r="E9" s="73">
        <v>0</v>
      </c>
      <c r="F9" s="73">
        <f t="shared" si="0"/>
        <v>12</v>
      </c>
      <c r="G9" s="73">
        <v>0</v>
      </c>
    </row>
    <row r="10" spans="1:7" x14ac:dyDescent="0.2">
      <c r="A10" s="72">
        <v>7</v>
      </c>
      <c r="B10" s="74">
        <v>43926</v>
      </c>
      <c r="C10" s="75">
        <v>2</v>
      </c>
      <c r="D10" s="75">
        <f t="shared" ref="D10:D40" si="1">D9+C10</f>
        <v>14</v>
      </c>
      <c r="E10" s="73">
        <v>0</v>
      </c>
      <c r="F10" s="73">
        <f t="shared" si="0"/>
        <v>14</v>
      </c>
      <c r="G10" s="73">
        <v>0</v>
      </c>
    </row>
    <row r="11" spans="1:7" x14ac:dyDescent="0.2">
      <c r="A11" s="72">
        <v>8</v>
      </c>
      <c r="B11" s="74">
        <v>43927</v>
      </c>
      <c r="C11" s="75">
        <v>10</v>
      </c>
      <c r="D11" s="75">
        <f t="shared" si="1"/>
        <v>24</v>
      </c>
      <c r="E11" s="73">
        <v>0</v>
      </c>
      <c r="F11" s="73">
        <f t="shared" si="0"/>
        <v>24</v>
      </c>
      <c r="G11" s="73">
        <v>0</v>
      </c>
    </row>
    <row r="12" spans="1:7" x14ac:dyDescent="0.2">
      <c r="A12" s="72">
        <v>9</v>
      </c>
      <c r="B12" s="74">
        <v>43928</v>
      </c>
      <c r="C12" s="75">
        <v>0</v>
      </c>
      <c r="D12" s="75">
        <f t="shared" si="1"/>
        <v>24</v>
      </c>
      <c r="E12" s="73">
        <v>0</v>
      </c>
      <c r="F12" s="73">
        <f t="shared" si="0"/>
        <v>24</v>
      </c>
      <c r="G12" s="73">
        <v>1</v>
      </c>
    </row>
    <row r="13" spans="1:7" x14ac:dyDescent="0.2">
      <c r="A13" s="72">
        <v>10</v>
      </c>
      <c r="B13" s="74">
        <v>43929</v>
      </c>
      <c r="C13" s="75">
        <v>0</v>
      </c>
      <c r="D13" s="75">
        <f t="shared" si="1"/>
        <v>24</v>
      </c>
      <c r="E13" s="73">
        <v>0</v>
      </c>
      <c r="F13" s="73">
        <f t="shared" si="0"/>
        <v>24</v>
      </c>
      <c r="G13" s="73">
        <v>2</v>
      </c>
    </row>
    <row r="14" spans="1:7" x14ac:dyDescent="0.2">
      <c r="A14" s="72">
        <v>11</v>
      </c>
      <c r="B14" s="74">
        <v>43930</v>
      </c>
      <c r="C14" s="75">
        <v>0</v>
      </c>
      <c r="D14" s="75">
        <f t="shared" si="1"/>
        <v>24</v>
      </c>
      <c r="E14" s="73">
        <v>0</v>
      </c>
      <c r="F14" s="73">
        <f t="shared" si="0"/>
        <v>24</v>
      </c>
      <c r="G14" s="73">
        <v>3</v>
      </c>
    </row>
    <row r="15" spans="1:7" x14ac:dyDescent="0.2">
      <c r="A15" s="72">
        <v>12</v>
      </c>
      <c r="B15" s="74">
        <v>43931</v>
      </c>
      <c r="C15" s="75">
        <v>0</v>
      </c>
      <c r="D15" s="75">
        <f t="shared" si="1"/>
        <v>24</v>
      </c>
      <c r="E15" s="73">
        <v>0</v>
      </c>
      <c r="F15" s="73">
        <f t="shared" si="0"/>
        <v>24</v>
      </c>
      <c r="G15" s="73">
        <v>4</v>
      </c>
    </row>
    <row r="16" spans="1:7" x14ac:dyDescent="0.2">
      <c r="A16" s="72">
        <v>13</v>
      </c>
      <c r="B16" s="74">
        <v>43932</v>
      </c>
      <c r="C16" s="75">
        <v>0</v>
      </c>
      <c r="D16" s="75">
        <f>D15+C16</f>
        <v>24</v>
      </c>
      <c r="E16" s="73">
        <v>0</v>
      </c>
      <c r="F16" s="73">
        <f>D16-E16</f>
        <v>24</v>
      </c>
      <c r="G16" s="73">
        <v>5</v>
      </c>
    </row>
    <row r="17" spans="1:7" x14ac:dyDescent="0.2">
      <c r="A17" s="72">
        <v>14</v>
      </c>
      <c r="B17" s="74">
        <v>43933</v>
      </c>
      <c r="C17" s="75">
        <v>0</v>
      </c>
      <c r="D17" s="75">
        <f>D16+C17</f>
        <v>24</v>
      </c>
      <c r="E17" s="73">
        <v>0</v>
      </c>
      <c r="F17" s="73">
        <f>D17-E17</f>
        <v>24</v>
      </c>
      <c r="G17" s="73">
        <v>6</v>
      </c>
    </row>
    <row r="18" spans="1:7" x14ac:dyDescent="0.2">
      <c r="A18" s="72">
        <v>15</v>
      </c>
      <c r="B18" s="74">
        <v>43934</v>
      </c>
      <c r="C18" s="75">
        <v>0</v>
      </c>
      <c r="D18" s="75">
        <f t="shared" ref="D18:D20" si="2">D17+C18</f>
        <v>24</v>
      </c>
      <c r="E18" s="73">
        <v>0</v>
      </c>
      <c r="F18" s="73">
        <f t="shared" si="0"/>
        <v>24</v>
      </c>
      <c r="G18" s="73">
        <v>7</v>
      </c>
    </row>
    <row r="19" spans="1:7" x14ac:dyDescent="0.2">
      <c r="A19" s="72">
        <v>16</v>
      </c>
      <c r="B19" s="74">
        <v>43935</v>
      </c>
      <c r="C19" s="75">
        <v>0</v>
      </c>
      <c r="D19" s="75">
        <f t="shared" si="2"/>
        <v>24</v>
      </c>
      <c r="E19" s="73">
        <v>0</v>
      </c>
      <c r="F19" s="73">
        <f>D19-E19</f>
        <v>24</v>
      </c>
      <c r="G19" s="73">
        <v>0</v>
      </c>
    </row>
    <row r="20" spans="1:7" x14ac:dyDescent="0.2">
      <c r="A20" s="72">
        <v>17</v>
      </c>
      <c r="B20" s="74">
        <v>43936</v>
      </c>
      <c r="C20" s="75">
        <v>0</v>
      </c>
      <c r="D20" s="75">
        <f t="shared" si="2"/>
        <v>24</v>
      </c>
      <c r="E20" s="73">
        <v>0</v>
      </c>
      <c r="F20" s="73">
        <f>D20-E20</f>
        <v>24</v>
      </c>
      <c r="G20" s="73">
        <v>0</v>
      </c>
    </row>
    <row r="21" spans="1:7" x14ac:dyDescent="0.2">
      <c r="A21" s="72">
        <v>18</v>
      </c>
      <c r="B21" s="74">
        <v>43937</v>
      </c>
      <c r="C21" s="75">
        <v>37</v>
      </c>
      <c r="D21" s="75">
        <f>D11+C21</f>
        <v>61</v>
      </c>
      <c r="E21" s="73">
        <v>0</v>
      </c>
      <c r="F21" s="73">
        <f t="shared" si="0"/>
        <v>61</v>
      </c>
      <c r="G21" s="73">
        <v>0</v>
      </c>
    </row>
    <row r="22" spans="1:7" x14ac:dyDescent="0.2">
      <c r="A22" s="72">
        <v>19</v>
      </c>
      <c r="B22" s="74">
        <v>43938</v>
      </c>
      <c r="C22" s="75">
        <v>18</v>
      </c>
      <c r="D22" s="75">
        <f t="shared" si="1"/>
        <v>79</v>
      </c>
      <c r="E22" s="73">
        <v>0</v>
      </c>
      <c r="F22" s="73">
        <f t="shared" si="0"/>
        <v>79</v>
      </c>
      <c r="G22" s="73">
        <v>0</v>
      </c>
    </row>
    <row r="23" spans="1:7" x14ac:dyDescent="0.2">
      <c r="A23" s="72">
        <v>20</v>
      </c>
      <c r="B23" s="74">
        <v>43939</v>
      </c>
      <c r="C23" s="75">
        <v>16</v>
      </c>
      <c r="D23" s="75">
        <f t="shared" si="1"/>
        <v>95</v>
      </c>
      <c r="E23" s="73">
        <v>0</v>
      </c>
      <c r="F23" s="73">
        <f t="shared" si="0"/>
        <v>95</v>
      </c>
      <c r="G23" s="73">
        <v>0</v>
      </c>
    </row>
    <row r="24" spans="1:7" x14ac:dyDescent="0.2">
      <c r="A24" s="72">
        <v>21</v>
      </c>
      <c r="B24" s="74">
        <v>43940</v>
      </c>
      <c r="C24" s="75">
        <v>16</v>
      </c>
      <c r="D24" s="75">
        <v>95</v>
      </c>
      <c r="E24" s="73">
        <v>0</v>
      </c>
      <c r="F24" s="73">
        <v>95</v>
      </c>
      <c r="G24" s="73">
        <v>0</v>
      </c>
    </row>
    <row r="25" spans="1:7" x14ac:dyDescent="0.2">
      <c r="A25" s="72">
        <v>22</v>
      </c>
      <c r="B25" s="74">
        <v>43941</v>
      </c>
      <c r="C25" s="75">
        <v>2</v>
      </c>
      <c r="D25" s="75">
        <f>D23+C25</f>
        <v>97</v>
      </c>
      <c r="E25" s="73">
        <v>0</v>
      </c>
      <c r="F25" s="73">
        <f t="shared" si="0"/>
        <v>97</v>
      </c>
      <c r="G25" s="73">
        <v>0</v>
      </c>
    </row>
    <row r="26" spans="1:7" x14ac:dyDescent="0.2">
      <c r="A26" s="72">
        <v>23</v>
      </c>
      <c r="B26" s="74">
        <v>43942</v>
      </c>
      <c r="C26" s="75">
        <v>2</v>
      </c>
      <c r="D26" s="75">
        <v>97</v>
      </c>
      <c r="E26" s="73">
        <v>0</v>
      </c>
      <c r="F26" s="73">
        <v>97</v>
      </c>
      <c r="G26" s="73">
        <v>0</v>
      </c>
    </row>
    <row r="27" spans="1:7" x14ac:dyDescent="0.2">
      <c r="A27" s="72">
        <v>24</v>
      </c>
      <c r="B27" s="74">
        <v>43943</v>
      </c>
      <c r="C27" s="75">
        <v>17</v>
      </c>
      <c r="D27" s="75">
        <f>D25+C27</f>
        <v>114</v>
      </c>
      <c r="E27" s="73">
        <v>0</v>
      </c>
      <c r="F27" s="73">
        <f t="shared" si="0"/>
        <v>114</v>
      </c>
      <c r="G27" s="73">
        <v>0</v>
      </c>
    </row>
    <row r="28" spans="1:7" x14ac:dyDescent="0.2">
      <c r="A28" s="72">
        <v>25</v>
      </c>
      <c r="B28" s="74">
        <v>43944</v>
      </c>
      <c r="C28" s="75">
        <v>12</v>
      </c>
      <c r="D28" s="75">
        <f t="shared" si="1"/>
        <v>126</v>
      </c>
      <c r="E28" s="73">
        <v>0</v>
      </c>
      <c r="F28" s="73">
        <f t="shared" si="0"/>
        <v>126</v>
      </c>
      <c r="G28" s="73">
        <v>0</v>
      </c>
    </row>
    <row r="29" spans="1:7" x14ac:dyDescent="0.2">
      <c r="A29" s="72">
        <v>26</v>
      </c>
      <c r="B29" s="74">
        <v>43945</v>
      </c>
      <c r="C29" s="75">
        <v>4</v>
      </c>
      <c r="D29" s="75">
        <f t="shared" si="1"/>
        <v>130</v>
      </c>
      <c r="E29" s="73">
        <v>0</v>
      </c>
      <c r="F29" s="73">
        <f t="shared" si="0"/>
        <v>130</v>
      </c>
      <c r="G29" s="73">
        <v>0</v>
      </c>
    </row>
    <row r="30" spans="1:7" x14ac:dyDescent="0.2">
      <c r="A30" s="72">
        <v>27</v>
      </c>
      <c r="B30" s="74">
        <v>43946</v>
      </c>
      <c r="C30" s="75">
        <v>35</v>
      </c>
      <c r="D30" s="75">
        <f t="shared" si="1"/>
        <v>165</v>
      </c>
      <c r="E30" s="73">
        <v>0</v>
      </c>
      <c r="F30" s="73">
        <f t="shared" si="0"/>
        <v>165</v>
      </c>
      <c r="G30" s="73">
        <v>0</v>
      </c>
    </row>
    <row r="31" spans="1:7" x14ac:dyDescent="0.2">
      <c r="A31" s="72">
        <v>28</v>
      </c>
      <c r="B31" s="74">
        <v>43947</v>
      </c>
      <c r="C31" s="75">
        <v>4</v>
      </c>
      <c r="D31" s="75">
        <f t="shared" si="1"/>
        <v>169</v>
      </c>
      <c r="E31" s="73">
        <v>0</v>
      </c>
      <c r="F31" s="73">
        <f t="shared" si="0"/>
        <v>169</v>
      </c>
      <c r="G31" s="73">
        <v>0</v>
      </c>
    </row>
    <row r="32" spans="1:7" x14ac:dyDescent="0.2">
      <c r="A32" s="72">
        <v>29</v>
      </c>
      <c r="B32" s="74">
        <v>43948</v>
      </c>
      <c r="C32" s="75">
        <v>0</v>
      </c>
      <c r="D32" s="75">
        <v>169</v>
      </c>
      <c r="E32" s="73">
        <v>0</v>
      </c>
      <c r="F32" s="73">
        <v>169</v>
      </c>
      <c r="G32" s="73">
        <v>0</v>
      </c>
    </row>
    <row r="33" spans="1:7" x14ac:dyDescent="0.2">
      <c r="A33" s="72">
        <v>30</v>
      </c>
      <c r="B33" s="74">
        <v>43949</v>
      </c>
      <c r="C33" s="75">
        <v>17</v>
      </c>
      <c r="D33" s="75">
        <f>D31+C33</f>
        <v>186</v>
      </c>
      <c r="E33" s="73">
        <v>0</v>
      </c>
      <c r="F33" s="73">
        <f t="shared" si="0"/>
        <v>186</v>
      </c>
      <c r="G33" s="73">
        <v>0</v>
      </c>
    </row>
    <row r="34" spans="1:7" x14ac:dyDescent="0.2">
      <c r="A34" s="72">
        <v>31</v>
      </c>
      <c r="B34" s="74">
        <v>43950</v>
      </c>
      <c r="C34" s="75">
        <v>0</v>
      </c>
      <c r="D34" s="75">
        <v>186</v>
      </c>
      <c r="E34" s="73">
        <v>0</v>
      </c>
      <c r="F34" s="73">
        <v>186</v>
      </c>
      <c r="G34" s="73">
        <v>0</v>
      </c>
    </row>
    <row r="35" spans="1:7" x14ac:dyDescent="0.2">
      <c r="A35" s="72">
        <v>32</v>
      </c>
      <c r="B35" s="74">
        <v>43951</v>
      </c>
      <c r="C35" s="75">
        <v>0</v>
      </c>
      <c r="D35" s="75">
        <v>186</v>
      </c>
      <c r="E35" s="73">
        <v>0</v>
      </c>
      <c r="F35" s="73">
        <v>186</v>
      </c>
      <c r="G35" s="73">
        <v>0</v>
      </c>
    </row>
    <row r="36" spans="1:7" x14ac:dyDescent="0.2">
      <c r="A36" s="72">
        <v>33</v>
      </c>
      <c r="B36" s="74">
        <v>43952</v>
      </c>
      <c r="C36" s="75">
        <v>0</v>
      </c>
      <c r="D36" s="75">
        <v>186</v>
      </c>
      <c r="E36" s="73">
        <v>0</v>
      </c>
      <c r="F36" s="73">
        <v>187</v>
      </c>
      <c r="G36" s="73">
        <v>0</v>
      </c>
    </row>
    <row r="37" spans="1:7" x14ac:dyDescent="0.2">
      <c r="A37" s="72">
        <v>34</v>
      </c>
      <c r="B37" s="74">
        <v>43953</v>
      </c>
      <c r="C37" s="75">
        <v>11</v>
      </c>
      <c r="D37" s="75">
        <f>D33+C37</f>
        <v>197</v>
      </c>
      <c r="E37" s="73">
        <v>0</v>
      </c>
      <c r="F37" s="73">
        <f t="shared" si="0"/>
        <v>197</v>
      </c>
      <c r="G37" s="73">
        <v>0</v>
      </c>
    </row>
    <row r="38" spans="1:7" x14ac:dyDescent="0.2">
      <c r="A38" s="72">
        <v>35</v>
      </c>
      <c r="B38" s="74">
        <v>43954</v>
      </c>
      <c r="C38" s="75">
        <v>0</v>
      </c>
      <c r="D38" s="75">
        <v>197</v>
      </c>
      <c r="E38" s="73">
        <v>0</v>
      </c>
      <c r="F38" s="73">
        <v>197</v>
      </c>
      <c r="G38" s="73">
        <v>0</v>
      </c>
    </row>
    <row r="39" spans="1:7" x14ac:dyDescent="0.2">
      <c r="A39" s="72">
        <v>36</v>
      </c>
      <c r="B39" s="74">
        <v>43955</v>
      </c>
      <c r="C39" s="75">
        <v>7</v>
      </c>
      <c r="D39" s="75">
        <f>D37+C39</f>
        <v>204</v>
      </c>
      <c r="E39" s="73">
        <v>0</v>
      </c>
      <c r="F39" s="73">
        <f t="shared" si="0"/>
        <v>204</v>
      </c>
      <c r="G39" s="73">
        <v>0</v>
      </c>
    </row>
    <row r="40" spans="1:7" x14ac:dyDescent="0.2">
      <c r="A40" s="72">
        <v>37</v>
      </c>
      <c r="B40" s="74">
        <v>43956</v>
      </c>
      <c r="C40" s="75">
        <v>17</v>
      </c>
      <c r="D40" s="75">
        <f t="shared" si="1"/>
        <v>221</v>
      </c>
      <c r="E40" s="73">
        <v>0</v>
      </c>
      <c r="F40" s="73">
        <f t="shared" si="0"/>
        <v>221</v>
      </c>
      <c r="G40" s="73">
        <v>0</v>
      </c>
    </row>
    <row r="41" spans="1:7" x14ac:dyDescent="0.2">
      <c r="A41" s="72">
        <v>38</v>
      </c>
      <c r="B41" s="74">
        <v>43957</v>
      </c>
      <c r="C41" s="75">
        <v>0</v>
      </c>
      <c r="D41" s="75">
        <v>221</v>
      </c>
      <c r="E41" s="73">
        <v>0</v>
      </c>
      <c r="F41" s="73">
        <v>221</v>
      </c>
      <c r="G41" s="73">
        <v>0</v>
      </c>
    </row>
    <row r="42" spans="1:7" x14ac:dyDescent="0.2">
      <c r="A42" s="72">
        <v>39</v>
      </c>
      <c r="B42" s="74">
        <v>43958</v>
      </c>
      <c r="C42" s="75">
        <v>9</v>
      </c>
      <c r="D42" s="75">
        <f>D40+C42</f>
        <v>230</v>
      </c>
      <c r="E42" s="73">
        <v>0</v>
      </c>
      <c r="F42" s="73">
        <f t="shared" si="0"/>
        <v>230</v>
      </c>
      <c r="G42" s="73">
        <v>0</v>
      </c>
    </row>
    <row r="43" spans="1:7" x14ac:dyDescent="0.2">
      <c r="A43" s="72">
        <v>40</v>
      </c>
      <c r="B43" s="74">
        <v>43959</v>
      </c>
      <c r="C43" s="75">
        <v>0</v>
      </c>
      <c r="D43" s="75">
        <v>230</v>
      </c>
      <c r="E43" s="73">
        <v>0</v>
      </c>
      <c r="F43" s="73">
        <f t="shared" si="0"/>
        <v>230</v>
      </c>
      <c r="G43" s="73">
        <v>0</v>
      </c>
    </row>
    <row r="44" spans="1:7" x14ac:dyDescent="0.2">
      <c r="A44" s="72">
        <v>41</v>
      </c>
      <c r="B44" s="74">
        <v>43960</v>
      </c>
      <c r="C44" s="75">
        <v>26</v>
      </c>
      <c r="D44" s="75">
        <v>230</v>
      </c>
      <c r="E44" s="73">
        <v>0</v>
      </c>
      <c r="F44" s="73">
        <f t="shared" si="0"/>
        <v>230</v>
      </c>
      <c r="G44" s="73">
        <v>0</v>
      </c>
    </row>
    <row r="45" spans="1:7" x14ac:dyDescent="0.2">
      <c r="A45" s="72">
        <v>42</v>
      </c>
      <c r="B45" s="74">
        <v>43961</v>
      </c>
      <c r="C45" s="75">
        <v>0</v>
      </c>
      <c r="D45" s="75">
        <v>256</v>
      </c>
      <c r="E45" s="73">
        <v>0</v>
      </c>
      <c r="F45" s="73">
        <f t="shared" si="0"/>
        <v>256</v>
      </c>
      <c r="G45" s="73">
        <v>0</v>
      </c>
    </row>
    <row r="46" spans="1:7" x14ac:dyDescent="0.2">
      <c r="A46" s="72">
        <v>43</v>
      </c>
      <c r="B46" s="74">
        <v>43962</v>
      </c>
      <c r="C46" s="75">
        <v>0</v>
      </c>
      <c r="D46" s="75">
        <f>SUM(C4:C46)</f>
        <v>274</v>
      </c>
      <c r="E46" s="73">
        <v>67</v>
      </c>
      <c r="F46" s="73">
        <f>D46-E46</f>
        <v>207</v>
      </c>
      <c r="G46" s="73">
        <v>0</v>
      </c>
    </row>
    <row r="47" spans="1:7" x14ac:dyDescent="0.2">
      <c r="A47" s="72">
        <v>44</v>
      </c>
      <c r="B47" s="74">
        <v>43963</v>
      </c>
      <c r="C47" s="75">
        <v>0</v>
      </c>
      <c r="D47" s="75">
        <v>256</v>
      </c>
      <c r="E47" s="73">
        <v>67</v>
      </c>
      <c r="F47" s="73">
        <v>189</v>
      </c>
      <c r="G47" s="73">
        <v>0</v>
      </c>
    </row>
    <row r="48" spans="1:7" x14ac:dyDescent="0.2">
      <c r="A48" s="72">
        <v>45</v>
      </c>
      <c r="B48" s="74">
        <v>43964</v>
      </c>
      <c r="C48" s="76">
        <v>8</v>
      </c>
      <c r="D48" s="76">
        <v>264</v>
      </c>
      <c r="E48" s="73">
        <v>34</v>
      </c>
      <c r="F48" s="73">
        <v>163</v>
      </c>
      <c r="G48" s="73">
        <v>0</v>
      </c>
    </row>
    <row r="49" spans="1:7" x14ac:dyDescent="0.2">
      <c r="A49" s="72">
        <v>46</v>
      </c>
      <c r="B49" s="74">
        <v>43965</v>
      </c>
      <c r="C49" s="76">
        <v>0</v>
      </c>
      <c r="D49" s="76">
        <v>264</v>
      </c>
      <c r="E49" s="73">
        <v>9</v>
      </c>
      <c r="F49" s="73">
        <v>154</v>
      </c>
      <c r="G49" s="73">
        <v>110</v>
      </c>
    </row>
    <row r="50" spans="1:7" x14ac:dyDescent="0.2">
      <c r="A50" s="72">
        <v>47</v>
      </c>
      <c r="B50" s="74">
        <v>43966</v>
      </c>
      <c r="C50" s="76">
        <v>12</v>
      </c>
      <c r="D50" s="76">
        <v>276</v>
      </c>
      <c r="E50" s="73">
        <v>0</v>
      </c>
      <c r="F50" s="73">
        <f>F49+C50</f>
        <v>166</v>
      </c>
      <c r="G50" s="73">
        <v>110</v>
      </c>
    </row>
    <row r="51" spans="1:7" x14ac:dyDescent="0.2">
      <c r="A51" s="72">
        <v>48</v>
      </c>
      <c r="B51" s="74">
        <v>43967</v>
      </c>
      <c r="C51" s="76">
        <v>2</v>
      </c>
      <c r="D51" s="76">
        <v>278</v>
      </c>
      <c r="E51" s="73">
        <v>9</v>
      </c>
      <c r="F51" s="73">
        <v>159</v>
      </c>
      <c r="G51" s="73">
        <v>119</v>
      </c>
    </row>
    <row r="52" spans="1:7" x14ac:dyDescent="0.2">
      <c r="A52" s="72">
        <v>49</v>
      </c>
      <c r="B52" s="74">
        <v>43968</v>
      </c>
      <c r="C52" s="76">
        <v>0</v>
      </c>
      <c r="D52" s="76">
        <v>278</v>
      </c>
      <c r="E52" s="73">
        <v>0</v>
      </c>
      <c r="F52" s="73">
        <v>159</v>
      </c>
      <c r="G52" s="73">
        <v>119</v>
      </c>
    </row>
    <row r="53" spans="1:7" x14ac:dyDescent="0.2">
      <c r="A53" s="72">
        <v>50</v>
      </c>
      <c r="B53" s="74">
        <v>43969</v>
      </c>
      <c r="C53" s="76">
        <v>0</v>
      </c>
      <c r="D53" s="76">
        <v>278</v>
      </c>
      <c r="E53" s="73">
        <v>5</v>
      </c>
      <c r="F53" s="73">
        <v>154</v>
      </c>
      <c r="G53" s="73">
        <v>124</v>
      </c>
    </row>
    <row r="54" spans="1:7" x14ac:dyDescent="0.2">
      <c r="A54" s="72">
        <v>51</v>
      </c>
      <c r="B54" s="74">
        <v>43970</v>
      </c>
      <c r="C54" s="76">
        <v>20</v>
      </c>
      <c r="D54" s="76">
        <v>298</v>
      </c>
      <c r="E54" s="73">
        <v>22</v>
      </c>
      <c r="F54" s="73">
        <v>152</v>
      </c>
      <c r="G54" s="73">
        <v>146</v>
      </c>
    </row>
    <row r="55" spans="1:7" x14ac:dyDescent="0.2">
      <c r="A55" s="72">
        <v>52</v>
      </c>
      <c r="B55" s="74">
        <v>43971</v>
      </c>
      <c r="C55" s="76">
        <v>41</v>
      </c>
      <c r="D55" s="76">
        <f>D54+C55</f>
        <v>339</v>
      </c>
      <c r="E55" s="73">
        <v>16</v>
      </c>
      <c r="F55" s="73">
        <v>177</v>
      </c>
      <c r="G55" s="73">
        <f>G54+E55</f>
        <v>162</v>
      </c>
    </row>
    <row r="56" spans="1:7" x14ac:dyDescent="0.2">
      <c r="A56" s="72">
        <v>53</v>
      </c>
      <c r="B56" s="74">
        <v>43972</v>
      </c>
      <c r="C56" s="76">
        <v>0</v>
      </c>
      <c r="D56" s="76">
        <f>D55+C56</f>
        <v>339</v>
      </c>
      <c r="E56" s="73">
        <v>6</v>
      </c>
      <c r="F56" s="73">
        <v>171</v>
      </c>
      <c r="G56" s="73">
        <v>168</v>
      </c>
    </row>
    <row r="57" spans="1:7" x14ac:dyDescent="0.2">
      <c r="A57" s="72">
        <v>54</v>
      </c>
      <c r="B57" s="74">
        <v>43973</v>
      </c>
      <c r="C57" s="76">
        <v>55</v>
      </c>
      <c r="D57" s="76">
        <f t="shared" ref="D57" si="3">D56+C57</f>
        <v>394</v>
      </c>
      <c r="E57" s="73">
        <v>2</v>
      </c>
      <c r="F57" s="73">
        <v>224</v>
      </c>
      <c r="G57" s="73">
        <v>170</v>
      </c>
    </row>
    <row r="58" spans="1:7" x14ac:dyDescent="0.2">
      <c r="A58" s="72">
        <v>55</v>
      </c>
      <c r="B58" s="74">
        <v>43974</v>
      </c>
      <c r="C58" s="76">
        <v>76</v>
      </c>
      <c r="D58" s="76">
        <v>670</v>
      </c>
      <c r="E58" s="73">
        <v>0</v>
      </c>
      <c r="F58" s="73">
        <v>500</v>
      </c>
      <c r="G58" s="73">
        <v>170</v>
      </c>
    </row>
    <row r="59" spans="1:7" x14ac:dyDescent="0.2">
      <c r="A59" s="72">
        <v>56</v>
      </c>
      <c r="B59" s="74">
        <v>43975</v>
      </c>
      <c r="C59" s="76">
        <v>87</v>
      </c>
      <c r="D59" s="76">
        <v>757</v>
      </c>
      <c r="E59" s="73">
        <v>0</v>
      </c>
      <c r="F59" s="73">
        <v>587</v>
      </c>
      <c r="G59" s="73">
        <v>170</v>
      </c>
    </row>
    <row r="60" spans="1:7" x14ac:dyDescent="0.2">
      <c r="A60" s="72">
        <v>57</v>
      </c>
      <c r="B60" s="74">
        <v>43976</v>
      </c>
      <c r="C60" s="76">
        <v>0</v>
      </c>
      <c r="D60" s="76">
        <v>757</v>
      </c>
      <c r="E60" s="73">
        <v>25</v>
      </c>
      <c r="F60" s="73">
        <v>562</v>
      </c>
      <c r="G60" s="73">
        <v>195</v>
      </c>
    </row>
    <row r="61" spans="1:7" x14ac:dyDescent="0.2">
      <c r="A61" s="72">
        <v>58</v>
      </c>
      <c r="B61" s="74">
        <v>43977</v>
      </c>
      <c r="C61" s="76">
        <v>0</v>
      </c>
      <c r="D61" s="76">
        <v>757</v>
      </c>
      <c r="E61" s="73">
        <v>283</v>
      </c>
      <c r="F61" s="73">
        <v>279</v>
      </c>
      <c r="G61" s="73">
        <v>478</v>
      </c>
    </row>
    <row r="62" spans="1:7" x14ac:dyDescent="0.2">
      <c r="A62" s="72">
        <v>59</v>
      </c>
      <c r="B62" s="74">
        <v>43978</v>
      </c>
      <c r="C62" s="76">
        <v>17</v>
      </c>
      <c r="D62" s="76">
        <f>D61+C62</f>
        <v>774</v>
      </c>
      <c r="E62" s="73">
        <v>2</v>
      </c>
      <c r="F62" s="73">
        <f t="shared" ref="F62:F120" si="4">F61+C62-E62</f>
        <v>294</v>
      </c>
      <c r="G62" s="73">
        <f>G61+E62</f>
        <v>480</v>
      </c>
    </row>
    <row r="63" spans="1:7" x14ac:dyDescent="0.2">
      <c r="A63" s="72">
        <v>60</v>
      </c>
      <c r="B63" s="74">
        <v>43979</v>
      </c>
      <c r="C63" s="76">
        <v>6</v>
      </c>
      <c r="D63" s="76">
        <f>D62+C63</f>
        <v>780</v>
      </c>
      <c r="E63" s="73">
        <v>5</v>
      </c>
      <c r="F63" s="73">
        <f>F62+C63-E63</f>
        <v>295</v>
      </c>
      <c r="G63" s="73">
        <v>485</v>
      </c>
    </row>
    <row r="64" spans="1:7" x14ac:dyDescent="0.2">
      <c r="A64" s="72">
        <v>61</v>
      </c>
      <c r="B64" s="74">
        <v>43980</v>
      </c>
      <c r="C64" s="76">
        <v>1</v>
      </c>
      <c r="D64" s="76">
        <v>781</v>
      </c>
      <c r="E64" s="73">
        <v>7</v>
      </c>
      <c r="F64" s="73">
        <f t="shared" si="4"/>
        <v>289</v>
      </c>
      <c r="G64" s="73">
        <f t="shared" ref="G64:G120" si="5">G63+E64</f>
        <v>492</v>
      </c>
    </row>
    <row r="65" spans="1:7" x14ac:dyDescent="0.2">
      <c r="A65" s="72">
        <v>62</v>
      </c>
      <c r="B65" s="74">
        <v>43981</v>
      </c>
      <c r="C65" s="73">
        <v>31</v>
      </c>
      <c r="D65" s="73">
        <f t="shared" ref="D65:D120" si="6">D64+C65</f>
        <v>812</v>
      </c>
      <c r="E65" s="73">
        <v>39</v>
      </c>
      <c r="F65" s="73">
        <f t="shared" si="4"/>
        <v>281</v>
      </c>
      <c r="G65" s="73">
        <f t="shared" si="5"/>
        <v>531</v>
      </c>
    </row>
    <row r="66" spans="1:7" x14ac:dyDescent="0.2">
      <c r="A66" s="72">
        <v>63</v>
      </c>
      <c r="B66" s="74">
        <v>43982</v>
      </c>
      <c r="C66" s="73">
        <v>6</v>
      </c>
      <c r="D66" s="73">
        <f t="shared" si="6"/>
        <v>818</v>
      </c>
      <c r="E66" s="73">
        <v>0</v>
      </c>
      <c r="F66" s="73">
        <f t="shared" si="4"/>
        <v>287</v>
      </c>
      <c r="G66" s="73">
        <f t="shared" si="5"/>
        <v>531</v>
      </c>
    </row>
    <row r="67" spans="1:7" x14ac:dyDescent="0.2">
      <c r="A67" s="72">
        <v>64</v>
      </c>
      <c r="B67" s="74">
        <v>43983</v>
      </c>
      <c r="C67" s="73">
        <v>0</v>
      </c>
      <c r="D67" s="73">
        <f t="shared" si="6"/>
        <v>818</v>
      </c>
      <c r="E67" s="73">
        <v>4</v>
      </c>
      <c r="F67" s="73">
        <f t="shared" si="4"/>
        <v>283</v>
      </c>
      <c r="G67" s="73">
        <f t="shared" si="5"/>
        <v>535</v>
      </c>
    </row>
    <row r="68" spans="1:7" x14ac:dyDescent="0.2">
      <c r="A68" s="72">
        <v>65</v>
      </c>
      <c r="B68" s="74">
        <v>43984</v>
      </c>
      <c r="C68" s="73">
        <v>3</v>
      </c>
      <c r="D68" s="73">
        <f t="shared" si="6"/>
        <v>821</v>
      </c>
      <c r="E68" s="73">
        <v>1</v>
      </c>
      <c r="F68" s="73">
        <f t="shared" si="4"/>
        <v>285</v>
      </c>
      <c r="G68" s="73">
        <f t="shared" si="5"/>
        <v>536</v>
      </c>
    </row>
    <row r="69" spans="1:7" x14ac:dyDescent="0.2">
      <c r="A69" s="72">
        <v>66</v>
      </c>
      <c r="B69" s="74">
        <v>43985</v>
      </c>
      <c r="C69" s="73">
        <v>0</v>
      </c>
      <c r="D69" s="73">
        <f t="shared" si="6"/>
        <v>821</v>
      </c>
      <c r="E69" s="73">
        <v>0</v>
      </c>
      <c r="F69" s="73">
        <f t="shared" si="4"/>
        <v>285</v>
      </c>
      <c r="G69" s="73">
        <f t="shared" si="5"/>
        <v>536</v>
      </c>
    </row>
    <row r="70" spans="1:7" x14ac:dyDescent="0.2">
      <c r="A70" s="72">
        <v>67</v>
      </c>
      <c r="B70" s="74">
        <v>43986</v>
      </c>
      <c r="C70" s="73">
        <v>18</v>
      </c>
      <c r="D70" s="73">
        <f t="shared" si="6"/>
        <v>839</v>
      </c>
      <c r="E70" s="73">
        <v>0</v>
      </c>
      <c r="F70" s="73">
        <f t="shared" si="4"/>
        <v>303</v>
      </c>
      <c r="G70" s="73">
        <f t="shared" si="5"/>
        <v>536</v>
      </c>
    </row>
    <row r="71" spans="1:7" x14ac:dyDescent="0.2">
      <c r="A71" s="72">
        <v>68</v>
      </c>
      <c r="B71" s="74">
        <v>43987</v>
      </c>
      <c r="C71" s="73">
        <v>0</v>
      </c>
      <c r="D71" s="73">
        <f t="shared" si="6"/>
        <v>839</v>
      </c>
      <c r="E71" s="73">
        <v>0</v>
      </c>
      <c r="F71" s="73">
        <f t="shared" si="4"/>
        <v>303</v>
      </c>
      <c r="G71" s="73">
        <f t="shared" si="5"/>
        <v>536</v>
      </c>
    </row>
    <row r="72" spans="1:7" x14ac:dyDescent="0.2">
      <c r="A72" s="72">
        <v>69</v>
      </c>
      <c r="B72" s="74">
        <v>43988</v>
      </c>
      <c r="C72" s="73">
        <v>0</v>
      </c>
      <c r="D72" s="73">
        <f t="shared" si="6"/>
        <v>839</v>
      </c>
      <c r="E72" s="73">
        <v>5</v>
      </c>
      <c r="F72" s="73">
        <f t="shared" si="4"/>
        <v>298</v>
      </c>
      <c r="G72" s="73">
        <f t="shared" si="5"/>
        <v>541</v>
      </c>
    </row>
    <row r="73" spans="1:7" x14ac:dyDescent="0.2">
      <c r="A73" s="72">
        <v>70</v>
      </c>
      <c r="B73" s="74">
        <v>43989</v>
      </c>
      <c r="C73" s="73">
        <v>0</v>
      </c>
      <c r="D73" s="73">
        <f t="shared" si="6"/>
        <v>839</v>
      </c>
      <c r="E73" s="73">
        <v>4</v>
      </c>
      <c r="F73" s="73">
        <f t="shared" si="4"/>
        <v>294</v>
      </c>
      <c r="G73" s="73">
        <f t="shared" si="5"/>
        <v>545</v>
      </c>
    </row>
    <row r="74" spans="1:7" x14ac:dyDescent="0.2">
      <c r="A74" s="72">
        <v>71</v>
      </c>
      <c r="B74" s="74">
        <v>43990</v>
      </c>
      <c r="C74" s="73">
        <v>0</v>
      </c>
      <c r="D74" s="73">
        <f t="shared" si="6"/>
        <v>839</v>
      </c>
      <c r="E74" s="73">
        <v>0</v>
      </c>
      <c r="F74" s="73">
        <f t="shared" si="4"/>
        <v>294</v>
      </c>
      <c r="G74" s="73">
        <f t="shared" si="5"/>
        <v>545</v>
      </c>
    </row>
    <row r="75" spans="1:7" x14ac:dyDescent="0.2">
      <c r="A75" s="72">
        <v>72</v>
      </c>
      <c r="B75" s="74">
        <v>43991</v>
      </c>
      <c r="C75" s="73">
        <v>0</v>
      </c>
      <c r="D75" s="73">
        <f t="shared" si="6"/>
        <v>839</v>
      </c>
      <c r="E75" s="73">
        <v>12</v>
      </c>
      <c r="F75" s="73">
        <f t="shared" si="4"/>
        <v>282</v>
      </c>
      <c r="G75" s="73">
        <f t="shared" si="5"/>
        <v>557</v>
      </c>
    </row>
    <row r="76" spans="1:7" x14ac:dyDescent="0.2">
      <c r="A76" s="72">
        <v>73</v>
      </c>
      <c r="B76" s="74">
        <v>43992</v>
      </c>
      <c r="C76" s="73">
        <v>0</v>
      </c>
      <c r="D76" s="73">
        <f t="shared" si="6"/>
        <v>839</v>
      </c>
      <c r="E76" s="73">
        <v>0</v>
      </c>
      <c r="F76" s="73">
        <f t="shared" si="4"/>
        <v>282</v>
      </c>
      <c r="G76" s="73">
        <f t="shared" si="5"/>
        <v>557</v>
      </c>
    </row>
    <row r="77" spans="1:7" x14ac:dyDescent="0.2">
      <c r="A77" s="72">
        <v>74</v>
      </c>
      <c r="B77" s="74">
        <v>43993</v>
      </c>
      <c r="C77" s="73">
        <v>0</v>
      </c>
      <c r="D77" s="73">
        <f t="shared" si="6"/>
        <v>839</v>
      </c>
      <c r="E77" s="73">
        <v>0</v>
      </c>
      <c r="F77" s="73">
        <f t="shared" si="4"/>
        <v>282</v>
      </c>
      <c r="G77" s="73">
        <f t="shared" si="5"/>
        <v>557</v>
      </c>
    </row>
    <row r="78" spans="1:7" x14ac:dyDescent="0.2">
      <c r="A78" s="72">
        <v>75</v>
      </c>
      <c r="B78" s="74">
        <v>43994</v>
      </c>
      <c r="C78" s="73">
        <v>0</v>
      </c>
      <c r="D78" s="73">
        <f t="shared" si="6"/>
        <v>839</v>
      </c>
      <c r="E78" s="73">
        <v>2</v>
      </c>
      <c r="F78" s="73">
        <f t="shared" si="4"/>
        <v>280</v>
      </c>
      <c r="G78" s="73">
        <f t="shared" si="5"/>
        <v>559</v>
      </c>
    </row>
    <row r="79" spans="1:7" x14ac:dyDescent="0.2">
      <c r="A79" s="72">
        <v>76</v>
      </c>
      <c r="B79" s="74">
        <v>43995</v>
      </c>
      <c r="C79" s="73">
        <v>0</v>
      </c>
      <c r="D79" s="73">
        <f t="shared" si="6"/>
        <v>839</v>
      </c>
      <c r="E79" s="73">
        <v>0</v>
      </c>
      <c r="F79" s="73">
        <f t="shared" si="4"/>
        <v>280</v>
      </c>
      <c r="G79" s="73">
        <f t="shared" si="5"/>
        <v>559</v>
      </c>
    </row>
    <row r="80" spans="1:7" x14ac:dyDescent="0.2">
      <c r="A80" s="72">
        <v>77</v>
      </c>
      <c r="B80" s="74">
        <v>43996</v>
      </c>
      <c r="C80" s="73">
        <v>0</v>
      </c>
      <c r="D80" s="73">
        <f t="shared" si="6"/>
        <v>839</v>
      </c>
      <c r="E80" s="73">
        <v>6</v>
      </c>
      <c r="F80" s="73">
        <f t="shared" si="4"/>
        <v>274</v>
      </c>
      <c r="G80" s="73">
        <f t="shared" si="5"/>
        <v>565</v>
      </c>
    </row>
    <row r="81" spans="1:7" x14ac:dyDescent="0.2">
      <c r="A81" s="72">
        <v>78</v>
      </c>
      <c r="B81" s="74">
        <v>43997</v>
      </c>
      <c r="C81" s="73">
        <v>0</v>
      </c>
      <c r="D81" s="73">
        <f t="shared" si="6"/>
        <v>839</v>
      </c>
      <c r="E81" s="73">
        <v>0</v>
      </c>
      <c r="F81" s="73">
        <f t="shared" si="4"/>
        <v>274</v>
      </c>
      <c r="G81" s="73">
        <f t="shared" si="5"/>
        <v>565</v>
      </c>
    </row>
    <row r="82" spans="1:7" x14ac:dyDescent="0.2">
      <c r="A82" s="72">
        <v>79</v>
      </c>
      <c r="B82" s="74">
        <v>43998</v>
      </c>
      <c r="C82" s="73">
        <v>0</v>
      </c>
      <c r="D82" s="73">
        <f t="shared" si="6"/>
        <v>839</v>
      </c>
      <c r="E82" s="73">
        <v>0</v>
      </c>
      <c r="F82" s="73">
        <f t="shared" si="4"/>
        <v>274</v>
      </c>
      <c r="G82" s="73">
        <f t="shared" si="5"/>
        <v>565</v>
      </c>
    </row>
    <row r="83" spans="1:7" x14ac:dyDescent="0.2">
      <c r="A83" s="72">
        <v>80</v>
      </c>
      <c r="B83" s="74">
        <v>43999</v>
      </c>
      <c r="C83" s="73">
        <v>10</v>
      </c>
      <c r="D83" s="73">
        <f t="shared" si="6"/>
        <v>849</v>
      </c>
      <c r="E83" s="73">
        <v>0</v>
      </c>
      <c r="F83" s="73">
        <f t="shared" si="4"/>
        <v>284</v>
      </c>
      <c r="G83" s="73">
        <f t="shared" si="5"/>
        <v>565</v>
      </c>
    </row>
    <row r="84" spans="1:7" x14ac:dyDescent="0.2">
      <c r="A84" s="72">
        <v>81</v>
      </c>
      <c r="B84" s="74">
        <v>44000</v>
      </c>
      <c r="C84" s="73">
        <v>20</v>
      </c>
      <c r="D84" s="73">
        <f t="shared" si="6"/>
        <v>869</v>
      </c>
      <c r="E84" s="73">
        <v>0</v>
      </c>
      <c r="F84" s="73">
        <f t="shared" si="4"/>
        <v>304</v>
      </c>
      <c r="G84" s="73">
        <f t="shared" si="5"/>
        <v>565</v>
      </c>
    </row>
    <row r="85" spans="1:7" x14ac:dyDescent="0.2">
      <c r="A85" s="72">
        <v>82</v>
      </c>
      <c r="B85" s="74">
        <v>44001</v>
      </c>
      <c r="C85" s="73">
        <v>0</v>
      </c>
      <c r="D85" s="73">
        <f t="shared" si="6"/>
        <v>869</v>
      </c>
      <c r="E85" s="73">
        <v>0</v>
      </c>
      <c r="F85" s="73">
        <f t="shared" si="4"/>
        <v>304</v>
      </c>
      <c r="G85" s="73">
        <f t="shared" si="5"/>
        <v>565</v>
      </c>
    </row>
    <row r="86" spans="1:7" x14ac:dyDescent="0.2">
      <c r="A86" s="72">
        <v>83</v>
      </c>
      <c r="B86" s="74">
        <v>44002</v>
      </c>
      <c r="C86" s="73">
        <v>0</v>
      </c>
      <c r="D86" s="73">
        <f t="shared" si="6"/>
        <v>869</v>
      </c>
      <c r="E86" s="73">
        <v>0</v>
      </c>
      <c r="F86" s="73">
        <f t="shared" si="4"/>
        <v>304</v>
      </c>
      <c r="G86" s="73">
        <f t="shared" si="5"/>
        <v>565</v>
      </c>
    </row>
    <row r="87" spans="1:7" x14ac:dyDescent="0.2">
      <c r="A87" s="72">
        <v>84</v>
      </c>
      <c r="B87" s="74">
        <v>44003</v>
      </c>
      <c r="C87" s="73">
        <v>18</v>
      </c>
      <c r="D87" s="73">
        <f t="shared" si="6"/>
        <v>887</v>
      </c>
      <c r="E87" s="73">
        <v>0</v>
      </c>
      <c r="F87" s="73">
        <f t="shared" si="4"/>
        <v>322</v>
      </c>
      <c r="G87" s="73">
        <f t="shared" si="5"/>
        <v>565</v>
      </c>
    </row>
    <row r="88" spans="1:7" x14ac:dyDescent="0.2">
      <c r="A88" s="72">
        <v>85</v>
      </c>
      <c r="B88" s="74">
        <v>44004</v>
      </c>
      <c r="C88" s="73">
        <v>19</v>
      </c>
      <c r="D88" s="73">
        <f t="shared" si="6"/>
        <v>906</v>
      </c>
      <c r="E88" s="73">
        <v>0</v>
      </c>
      <c r="F88" s="73">
        <f t="shared" si="4"/>
        <v>341</v>
      </c>
      <c r="G88" s="73">
        <f t="shared" si="5"/>
        <v>565</v>
      </c>
    </row>
    <row r="89" spans="1:7" x14ac:dyDescent="0.2">
      <c r="A89" s="72">
        <v>86</v>
      </c>
      <c r="B89" s="74">
        <v>44005</v>
      </c>
      <c r="C89" s="73">
        <v>5</v>
      </c>
      <c r="D89" s="73">
        <f t="shared" si="6"/>
        <v>911</v>
      </c>
      <c r="E89" s="73">
        <v>0</v>
      </c>
      <c r="F89" s="73">
        <f t="shared" si="4"/>
        <v>346</v>
      </c>
      <c r="G89" s="73">
        <f t="shared" si="5"/>
        <v>565</v>
      </c>
    </row>
    <row r="90" spans="1:7" x14ac:dyDescent="0.2">
      <c r="A90" s="72">
        <v>87</v>
      </c>
      <c r="B90" s="74">
        <v>44006</v>
      </c>
      <c r="C90" s="73">
        <v>7</v>
      </c>
      <c r="D90" s="73">
        <f t="shared" si="6"/>
        <v>918</v>
      </c>
      <c r="E90" s="73">
        <v>0</v>
      </c>
      <c r="F90" s="73">
        <f t="shared" si="4"/>
        <v>353</v>
      </c>
      <c r="G90" s="73">
        <f t="shared" si="5"/>
        <v>565</v>
      </c>
    </row>
    <row r="91" spans="1:7" x14ac:dyDescent="0.2">
      <c r="A91" s="72">
        <v>88</v>
      </c>
      <c r="B91" s="74">
        <v>44007</v>
      </c>
      <c r="C91" s="73">
        <v>0</v>
      </c>
      <c r="D91" s="73">
        <f t="shared" si="6"/>
        <v>918</v>
      </c>
      <c r="E91" s="73">
        <v>0</v>
      </c>
      <c r="F91" s="73">
        <f t="shared" si="4"/>
        <v>353</v>
      </c>
      <c r="G91" s="73">
        <f t="shared" si="5"/>
        <v>565</v>
      </c>
    </row>
    <row r="92" spans="1:7" x14ac:dyDescent="0.2">
      <c r="A92" s="72">
        <v>89</v>
      </c>
      <c r="B92" s="74">
        <v>44008</v>
      </c>
      <c r="C92" s="73">
        <v>8</v>
      </c>
      <c r="D92" s="73">
        <f t="shared" si="6"/>
        <v>926</v>
      </c>
      <c r="E92" s="73">
        <v>0</v>
      </c>
      <c r="F92" s="73">
        <f t="shared" si="4"/>
        <v>361</v>
      </c>
      <c r="G92" s="73">
        <f t="shared" si="5"/>
        <v>565</v>
      </c>
    </row>
    <row r="93" spans="1:7" x14ac:dyDescent="0.2">
      <c r="A93" s="72">
        <v>90</v>
      </c>
      <c r="B93" s="74">
        <v>44009</v>
      </c>
      <c r="C93" s="73">
        <v>0</v>
      </c>
      <c r="D93" s="73">
        <f t="shared" si="6"/>
        <v>926</v>
      </c>
      <c r="E93" s="73">
        <v>21</v>
      </c>
      <c r="F93" s="73">
        <f t="shared" si="4"/>
        <v>340</v>
      </c>
      <c r="G93" s="73">
        <f t="shared" si="5"/>
        <v>586</v>
      </c>
    </row>
    <row r="94" spans="1:7" x14ac:dyDescent="0.2">
      <c r="A94" s="72">
        <v>91</v>
      </c>
      <c r="B94" s="74">
        <v>44010</v>
      </c>
      <c r="C94" s="73">
        <v>9</v>
      </c>
      <c r="D94" s="73">
        <f t="shared" si="6"/>
        <v>935</v>
      </c>
      <c r="E94" s="73">
        <v>0</v>
      </c>
      <c r="F94" s="73">
        <f t="shared" si="4"/>
        <v>349</v>
      </c>
      <c r="G94" s="73">
        <f t="shared" si="5"/>
        <v>586</v>
      </c>
    </row>
    <row r="95" spans="1:7" x14ac:dyDescent="0.2">
      <c r="A95" s="72">
        <v>92</v>
      </c>
      <c r="B95" s="74">
        <v>44011</v>
      </c>
      <c r="C95" s="73">
        <v>0</v>
      </c>
      <c r="D95" s="73">
        <f t="shared" si="6"/>
        <v>935</v>
      </c>
      <c r="E95" s="73">
        <v>0</v>
      </c>
      <c r="F95" s="73">
        <f t="shared" si="4"/>
        <v>349</v>
      </c>
      <c r="G95" s="73">
        <f t="shared" si="5"/>
        <v>586</v>
      </c>
    </row>
    <row r="96" spans="1:7" x14ac:dyDescent="0.2">
      <c r="A96" s="72">
        <v>93</v>
      </c>
      <c r="B96" s="74">
        <v>44012</v>
      </c>
      <c r="C96" s="73">
        <v>6</v>
      </c>
      <c r="D96" s="73">
        <f t="shared" si="6"/>
        <v>941</v>
      </c>
      <c r="E96" s="73">
        <v>0</v>
      </c>
      <c r="F96" s="73">
        <f t="shared" si="4"/>
        <v>355</v>
      </c>
      <c r="G96" s="73">
        <f t="shared" si="5"/>
        <v>586</v>
      </c>
    </row>
    <row r="97" spans="1:7" x14ac:dyDescent="0.2">
      <c r="A97" s="72">
        <v>94</v>
      </c>
      <c r="B97" s="74">
        <v>44013</v>
      </c>
      <c r="C97" s="73">
        <v>18</v>
      </c>
      <c r="D97" s="73">
        <f t="shared" si="6"/>
        <v>959</v>
      </c>
      <c r="E97" s="73">
        <v>0</v>
      </c>
      <c r="F97" s="73">
        <f t="shared" si="4"/>
        <v>373</v>
      </c>
      <c r="G97" s="73">
        <f t="shared" si="5"/>
        <v>586</v>
      </c>
    </row>
    <row r="98" spans="1:7" x14ac:dyDescent="0.2">
      <c r="A98" s="72">
        <v>95</v>
      </c>
      <c r="B98" s="74">
        <v>44014</v>
      </c>
      <c r="C98" s="73">
        <v>14</v>
      </c>
      <c r="D98" s="73">
        <f t="shared" si="6"/>
        <v>973</v>
      </c>
      <c r="E98" s="73">
        <v>0</v>
      </c>
      <c r="F98" s="73">
        <f t="shared" si="4"/>
        <v>387</v>
      </c>
      <c r="G98" s="73">
        <f t="shared" si="5"/>
        <v>586</v>
      </c>
    </row>
    <row r="99" spans="1:7" x14ac:dyDescent="0.2">
      <c r="A99" s="72">
        <v>96</v>
      </c>
      <c r="B99" s="74">
        <v>44015</v>
      </c>
      <c r="C99" s="73">
        <v>9</v>
      </c>
      <c r="D99" s="73">
        <f t="shared" si="6"/>
        <v>982</v>
      </c>
      <c r="E99" s="73">
        <v>0</v>
      </c>
      <c r="F99" s="73">
        <f t="shared" si="4"/>
        <v>396</v>
      </c>
      <c r="G99" s="73">
        <f t="shared" si="5"/>
        <v>586</v>
      </c>
    </row>
    <row r="100" spans="1:7" x14ac:dyDescent="0.2">
      <c r="A100" s="72">
        <v>97</v>
      </c>
      <c r="B100" s="74">
        <v>44016</v>
      </c>
      <c r="C100" s="73">
        <v>6</v>
      </c>
      <c r="D100" s="73">
        <f t="shared" si="6"/>
        <v>988</v>
      </c>
      <c r="E100" s="73">
        <v>18</v>
      </c>
      <c r="F100" s="73">
        <f t="shared" si="4"/>
        <v>384</v>
      </c>
      <c r="G100" s="73">
        <f t="shared" si="5"/>
        <v>604</v>
      </c>
    </row>
    <row r="101" spans="1:7" x14ac:dyDescent="0.2">
      <c r="A101" s="72">
        <v>98</v>
      </c>
      <c r="B101" s="74">
        <v>44017</v>
      </c>
      <c r="C101" s="73">
        <v>0</v>
      </c>
      <c r="D101" s="73">
        <f t="shared" si="6"/>
        <v>988</v>
      </c>
      <c r="E101" s="73">
        <v>0</v>
      </c>
      <c r="F101" s="73">
        <f t="shared" si="4"/>
        <v>384</v>
      </c>
      <c r="G101" s="73">
        <f t="shared" si="5"/>
        <v>604</v>
      </c>
    </row>
    <row r="102" spans="1:7" x14ac:dyDescent="0.2">
      <c r="A102" s="72">
        <v>99</v>
      </c>
      <c r="B102" s="74">
        <v>44018</v>
      </c>
      <c r="C102" s="73">
        <v>10</v>
      </c>
      <c r="D102" s="73">
        <f t="shared" si="6"/>
        <v>998</v>
      </c>
      <c r="E102" s="73">
        <v>0</v>
      </c>
      <c r="F102" s="73">
        <f t="shared" si="4"/>
        <v>394</v>
      </c>
      <c r="G102" s="73">
        <f t="shared" si="5"/>
        <v>604</v>
      </c>
    </row>
    <row r="103" spans="1:7" x14ac:dyDescent="0.2">
      <c r="A103" s="72">
        <v>100</v>
      </c>
      <c r="B103" s="74">
        <v>44019</v>
      </c>
      <c r="C103" s="73">
        <v>19</v>
      </c>
      <c r="D103" s="73">
        <f t="shared" si="6"/>
        <v>1017</v>
      </c>
      <c r="E103" s="73">
        <v>0</v>
      </c>
      <c r="F103" s="73">
        <f t="shared" si="4"/>
        <v>413</v>
      </c>
      <c r="G103" s="73">
        <f t="shared" si="5"/>
        <v>604</v>
      </c>
    </row>
    <row r="104" spans="1:7" x14ac:dyDescent="0.2">
      <c r="A104" s="72">
        <v>101</v>
      </c>
      <c r="B104" s="74">
        <v>44020</v>
      </c>
      <c r="C104" s="73">
        <v>0</v>
      </c>
      <c r="D104" s="73">
        <f t="shared" si="6"/>
        <v>1017</v>
      </c>
      <c r="E104" s="73">
        <v>9</v>
      </c>
      <c r="F104" s="73">
        <f t="shared" si="4"/>
        <v>404</v>
      </c>
      <c r="G104" s="73">
        <f t="shared" si="5"/>
        <v>613</v>
      </c>
    </row>
    <row r="105" spans="1:7" x14ac:dyDescent="0.2">
      <c r="A105" s="72">
        <v>102</v>
      </c>
      <c r="B105" s="74">
        <v>44021</v>
      </c>
      <c r="C105" s="73">
        <v>0</v>
      </c>
      <c r="D105" s="73">
        <f t="shared" si="6"/>
        <v>1017</v>
      </c>
      <c r="E105" s="73">
        <v>7</v>
      </c>
      <c r="F105" s="73">
        <f t="shared" si="4"/>
        <v>397</v>
      </c>
      <c r="G105" s="73">
        <f t="shared" si="5"/>
        <v>620</v>
      </c>
    </row>
    <row r="106" spans="1:7" x14ac:dyDescent="0.2">
      <c r="A106" s="72">
        <v>103</v>
      </c>
      <c r="B106" s="74">
        <v>44022</v>
      </c>
      <c r="C106" s="73">
        <v>0</v>
      </c>
      <c r="D106" s="73">
        <f t="shared" si="6"/>
        <v>1017</v>
      </c>
      <c r="E106" s="73">
        <v>8</v>
      </c>
      <c r="F106" s="73">
        <f t="shared" si="4"/>
        <v>389</v>
      </c>
      <c r="G106" s="73">
        <f t="shared" si="5"/>
        <v>628</v>
      </c>
    </row>
    <row r="107" spans="1:7" x14ac:dyDescent="0.2">
      <c r="A107" s="72">
        <v>104</v>
      </c>
      <c r="B107" s="74">
        <v>44023</v>
      </c>
      <c r="C107" s="73">
        <v>0</v>
      </c>
      <c r="D107" s="73">
        <f t="shared" si="6"/>
        <v>1017</v>
      </c>
      <c r="E107" s="73">
        <v>9</v>
      </c>
      <c r="F107" s="73">
        <f t="shared" si="4"/>
        <v>380</v>
      </c>
      <c r="G107" s="73">
        <f t="shared" si="5"/>
        <v>637</v>
      </c>
    </row>
    <row r="108" spans="1:7" x14ac:dyDescent="0.2">
      <c r="A108" s="72">
        <v>105</v>
      </c>
      <c r="B108" s="74">
        <v>44024</v>
      </c>
      <c r="C108" s="73">
        <v>0</v>
      </c>
      <c r="D108" s="73">
        <f t="shared" si="6"/>
        <v>1017</v>
      </c>
      <c r="E108" s="73">
        <v>6</v>
      </c>
      <c r="F108" s="73">
        <f t="shared" si="4"/>
        <v>374</v>
      </c>
      <c r="G108" s="73">
        <f t="shared" si="5"/>
        <v>643</v>
      </c>
    </row>
    <row r="109" spans="1:7" x14ac:dyDescent="0.2">
      <c r="A109" s="72">
        <v>106</v>
      </c>
      <c r="B109" s="74">
        <v>44025</v>
      </c>
      <c r="C109" s="73">
        <v>0</v>
      </c>
      <c r="D109" s="73">
        <f t="shared" si="6"/>
        <v>1017</v>
      </c>
      <c r="E109" s="73">
        <v>0</v>
      </c>
      <c r="F109" s="73">
        <f t="shared" si="4"/>
        <v>374</v>
      </c>
      <c r="G109" s="73">
        <f t="shared" si="5"/>
        <v>643</v>
      </c>
    </row>
    <row r="110" spans="1:7" x14ac:dyDescent="0.2">
      <c r="A110" s="72">
        <v>107</v>
      </c>
      <c r="B110" s="74">
        <v>44026</v>
      </c>
      <c r="C110" s="73">
        <v>0</v>
      </c>
      <c r="D110" s="73">
        <f t="shared" si="6"/>
        <v>1017</v>
      </c>
      <c r="E110" s="73">
        <v>4</v>
      </c>
      <c r="F110" s="73">
        <f t="shared" si="4"/>
        <v>370</v>
      </c>
      <c r="G110" s="73">
        <f t="shared" si="5"/>
        <v>647</v>
      </c>
    </row>
    <row r="111" spans="1:7" x14ac:dyDescent="0.2">
      <c r="A111" s="72">
        <v>108</v>
      </c>
      <c r="B111" s="74">
        <v>44027</v>
      </c>
      <c r="C111" s="73">
        <v>0</v>
      </c>
      <c r="D111" s="73">
        <f t="shared" si="6"/>
        <v>1017</v>
      </c>
      <c r="E111" s="73">
        <v>0</v>
      </c>
      <c r="F111" s="73">
        <f t="shared" si="4"/>
        <v>370</v>
      </c>
      <c r="G111" s="73">
        <f t="shared" si="5"/>
        <v>647</v>
      </c>
    </row>
    <row r="112" spans="1:7" x14ac:dyDescent="0.2">
      <c r="A112" s="72">
        <v>109</v>
      </c>
      <c r="B112" s="74">
        <v>44028</v>
      </c>
      <c r="C112" s="73">
        <v>0</v>
      </c>
      <c r="D112" s="73">
        <f t="shared" si="6"/>
        <v>1017</v>
      </c>
      <c r="E112" s="73">
        <v>42</v>
      </c>
      <c r="F112" s="73">
        <f t="shared" si="4"/>
        <v>328</v>
      </c>
      <c r="G112" s="73">
        <f t="shared" si="5"/>
        <v>689</v>
      </c>
    </row>
    <row r="113" spans="1:7" x14ac:dyDescent="0.2">
      <c r="A113" s="72">
        <v>110</v>
      </c>
      <c r="B113" s="74">
        <v>44029</v>
      </c>
      <c r="C113" s="73">
        <v>0</v>
      </c>
      <c r="D113" s="73">
        <f t="shared" si="6"/>
        <v>1017</v>
      </c>
      <c r="E113" s="73">
        <v>0</v>
      </c>
      <c r="F113" s="73">
        <f t="shared" si="4"/>
        <v>328</v>
      </c>
      <c r="G113" s="73">
        <f t="shared" si="5"/>
        <v>689</v>
      </c>
    </row>
    <row r="114" spans="1:7" x14ac:dyDescent="0.2">
      <c r="A114" s="72">
        <v>111</v>
      </c>
      <c r="B114" s="74">
        <v>44030</v>
      </c>
      <c r="C114" s="73">
        <v>0</v>
      </c>
      <c r="D114" s="73">
        <f t="shared" si="6"/>
        <v>1017</v>
      </c>
      <c r="E114" s="73">
        <v>12</v>
      </c>
      <c r="F114" s="73">
        <f t="shared" si="4"/>
        <v>316</v>
      </c>
      <c r="G114" s="73">
        <f t="shared" si="5"/>
        <v>701</v>
      </c>
    </row>
    <row r="115" spans="1:7" x14ac:dyDescent="0.2">
      <c r="A115" s="72">
        <v>112</v>
      </c>
      <c r="B115" s="74">
        <v>44031</v>
      </c>
      <c r="C115" s="73">
        <v>0</v>
      </c>
      <c r="D115" s="73">
        <f t="shared" si="6"/>
        <v>1017</v>
      </c>
      <c r="E115" s="73">
        <v>0</v>
      </c>
      <c r="F115" s="73">
        <f t="shared" si="4"/>
        <v>316</v>
      </c>
      <c r="G115" s="73">
        <f t="shared" si="5"/>
        <v>701</v>
      </c>
    </row>
    <row r="116" spans="1:7" x14ac:dyDescent="0.2">
      <c r="A116" s="72">
        <v>113</v>
      </c>
      <c r="B116" s="74">
        <v>44032</v>
      </c>
      <c r="C116" s="73">
        <v>0</v>
      </c>
      <c r="D116" s="73">
        <f t="shared" si="6"/>
        <v>1017</v>
      </c>
      <c r="E116" s="73">
        <v>7</v>
      </c>
      <c r="F116" s="73">
        <f t="shared" si="4"/>
        <v>309</v>
      </c>
      <c r="G116" s="73">
        <f t="shared" si="5"/>
        <v>708</v>
      </c>
    </row>
    <row r="117" spans="1:7" x14ac:dyDescent="0.2">
      <c r="A117" s="72">
        <v>114</v>
      </c>
      <c r="B117" s="74">
        <v>44033</v>
      </c>
      <c r="C117" s="73">
        <v>0</v>
      </c>
      <c r="D117" s="73">
        <f t="shared" si="6"/>
        <v>1017</v>
      </c>
      <c r="E117" s="73">
        <v>6</v>
      </c>
      <c r="F117" s="73">
        <f t="shared" si="4"/>
        <v>303</v>
      </c>
      <c r="G117" s="73">
        <f t="shared" si="5"/>
        <v>714</v>
      </c>
    </row>
    <row r="118" spans="1:7" x14ac:dyDescent="0.2">
      <c r="A118" s="72">
        <v>115</v>
      </c>
      <c r="B118" s="74">
        <v>44034</v>
      </c>
      <c r="C118" s="73">
        <v>0</v>
      </c>
      <c r="D118" s="73">
        <f t="shared" si="6"/>
        <v>1017</v>
      </c>
      <c r="E118" s="73">
        <v>11</v>
      </c>
      <c r="F118" s="73">
        <f t="shared" si="4"/>
        <v>292</v>
      </c>
      <c r="G118" s="73">
        <f t="shared" si="5"/>
        <v>725</v>
      </c>
    </row>
    <row r="119" spans="1:7" x14ac:dyDescent="0.2">
      <c r="A119" s="72">
        <v>116</v>
      </c>
      <c r="B119" s="74">
        <v>44035</v>
      </c>
      <c r="C119" s="73">
        <v>0</v>
      </c>
      <c r="D119" s="73">
        <f t="shared" si="6"/>
        <v>1017</v>
      </c>
      <c r="E119" s="73">
        <v>6</v>
      </c>
      <c r="F119" s="73">
        <f t="shared" si="4"/>
        <v>286</v>
      </c>
      <c r="G119" s="73">
        <f t="shared" si="5"/>
        <v>731</v>
      </c>
    </row>
    <row r="120" spans="1:7" x14ac:dyDescent="0.2">
      <c r="A120" s="72">
        <v>117</v>
      </c>
      <c r="B120" s="74">
        <v>44036</v>
      </c>
      <c r="C120" s="73">
        <v>0</v>
      </c>
      <c r="D120" s="73">
        <f t="shared" si="6"/>
        <v>1017</v>
      </c>
      <c r="E120" s="73">
        <v>9</v>
      </c>
      <c r="F120" s="73">
        <f t="shared" si="4"/>
        <v>277</v>
      </c>
      <c r="G120" s="73">
        <f t="shared" si="5"/>
        <v>740</v>
      </c>
    </row>
    <row r="121" spans="1:7" x14ac:dyDescent="0.2">
      <c r="A121" s="72">
        <v>118</v>
      </c>
      <c r="B121" s="74">
        <v>44037</v>
      </c>
      <c r="C121" s="73">
        <v>0</v>
      </c>
      <c r="D121" s="73">
        <f>D120+C121</f>
        <v>1017</v>
      </c>
      <c r="E121" s="73">
        <v>9</v>
      </c>
      <c r="F121" s="73">
        <f>F120+C121-E121</f>
        <v>268</v>
      </c>
      <c r="G121" s="73">
        <f>G120+E121</f>
        <v>749</v>
      </c>
    </row>
    <row r="122" spans="1:7" x14ac:dyDescent="0.2">
      <c r="A122" s="72">
        <v>119</v>
      </c>
      <c r="B122" s="74">
        <v>44038</v>
      </c>
      <c r="C122" s="73">
        <v>0</v>
      </c>
      <c r="D122" s="73">
        <f t="shared" ref="D122:D185" si="7">D121+C122</f>
        <v>1017</v>
      </c>
      <c r="E122" s="73">
        <v>0</v>
      </c>
      <c r="F122" s="73">
        <f t="shared" ref="F122:F185" si="8">F121+C122-E122</f>
        <v>268</v>
      </c>
      <c r="G122" s="73">
        <f t="shared" ref="G122:G185" si="9">G121+E122</f>
        <v>749</v>
      </c>
    </row>
    <row r="123" spans="1:7" x14ac:dyDescent="0.2">
      <c r="A123" s="72">
        <v>120</v>
      </c>
      <c r="B123" s="74">
        <v>44039</v>
      </c>
      <c r="C123" s="73">
        <v>0</v>
      </c>
      <c r="D123" s="73">
        <f t="shared" si="7"/>
        <v>1017</v>
      </c>
      <c r="E123" s="73">
        <v>4</v>
      </c>
      <c r="F123" s="73">
        <f t="shared" si="8"/>
        <v>264</v>
      </c>
      <c r="G123" s="73">
        <f t="shared" si="9"/>
        <v>753</v>
      </c>
    </row>
    <row r="124" spans="1:7" x14ac:dyDescent="0.2">
      <c r="A124" s="72">
        <v>121</v>
      </c>
      <c r="B124" s="74">
        <v>44040</v>
      </c>
      <c r="C124" s="73">
        <v>0</v>
      </c>
      <c r="D124" s="73">
        <f t="shared" si="7"/>
        <v>1017</v>
      </c>
      <c r="E124" s="73">
        <v>14</v>
      </c>
      <c r="F124" s="73">
        <f t="shared" si="8"/>
        <v>250</v>
      </c>
      <c r="G124" s="73">
        <f t="shared" si="9"/>
        <v>767</v>
      </c>
    </row>
    <row r="125" spans="1:7" x14ac:dyDescent="0.2">
      <c r="A125" s="72">
        <v>122</v>
      </c>
      <c r="B125" s="74">
        <v>44041</v>
      </c>
      <c r="C125" s="73">
        <v>0</v>
      </c>
      <c r="D125" s="73">
        <f t="shared" si="7"/>
        <v>1017</v>
      </c>
      <c r="E125" s="73">
        <v>11</v>
      </c>
      <c r="F125" s="73">
        <f t="shared" si="8"/>
        <v>239</v>
      </c>
      <c r="G125" s="73">
        <f t="shared" si="9"/>
        <v>778</v>
      </c>
    </row>
    <row r="126" spans="1:7" x14ac:dyDescent="0.2">
      <c r="A126" s="72">
        <v>123</v>
      </c>
      <c r="B126" s="74">
        <v>44042</v>
      </c>
      <c r="C126" s="73">
        <v>0</v>
      </c>
      <c r="D126" s="73">
        <f t="shared" si="7"/>
        <v>1017</v>
      </c>
      <c r="E126" s="73">
        <v>9</v>
      </c>
      <c r="F126" s="73">
        <f t="shared" si="8"/>
        <v>230</v>
      </c>
      <c r="G126" s="73">
        <f t="shared" si="9"/>
        <v>787</v>
      </c>
    </row>
    <row r="127" spans="1:7" x14ac:dyDescent="0.2">
      <c r="A127" s="72">
        <v>124</v>
      </c>
      <c r="B127" s="74">
        <v>44043</v>
      </c>
      <c r="C127" s="73">
        <v>0</v>
      </c>
      <c r="D127" s="73">
        <f t="shared" si="7"/>
        <v>1017</v>
      </c>
      <c r="E127" s="73">
        <v>7</v>
      </c>
      <c r="F127" s="73">
        <f t="shared" si="8"/>
        <v>223</v>
      </c>
      <c r="G127" s="73">
        <f t="shared" si="9"/>
        <v>794</v>
      </c>
    </row>
    <row r="128" spans="1:7" x14ac:dyDescent="0.2">
      <c r="A128" s="72">
        <v>125</v>
      </c>
      <c r="B128" s="74">
        <v>44044</v>
      </c>
      <c r="C128" s="73">
        <v>0</v>
      </c>
      <c r="D128" s="73">
        <f t="shared" si="7"/>
        <v>1017</v>
      </c>
      <c r="E128" s="73">
        <v>0</v>
      </c>
      <c r="F128" s="73">
        <f t="shared" si="8"/>
        <v>223</v>
      </c>
      <c r="G128" s="73">
        <f t="shared" si="9"/>
        <v>794</v>
      </c>
    </row>
    <row r="129" spans="1:7" x14ac:dyDescent="0.2">
      <c r="A129" s="72">
        <v>126</v>
      </c>
      <c r="B129" s="74">
        <v>44045</v>
      </c>
      <c r="C129" s="73">
        <v>0</v>
      </c>
      <c r="D129" s="73">
        <f t="shared" si="7"/>
        <v>1017</v>
      </c>
      <c r="E129" s="73">
        <v>5</v>
      </c>
      <c r="F129" s="73">
        <f t="shared" si="8"/>
        <v>218</v>
      </c>
      <c r="G129" s="73">
        <f t="shared" si="9"/>
        <v>799</v>
      </c>
    </row>
    <row r="130" spans="1:7" x14ac:dyDescent="0.2">
      <c r="A130" s="72">
        <v>127</v>
      </c>
      <c r="B130" s="74">
        <v>44046</v>
      </c>
      <c r="C130" s="73">
        <v>0</v>
      </c>
      <c r="D130" s="73">
        <f t="shared" si="7"/>
        <v>1017</v>
      </c>
      <c r="E130" s="73">
        <v>5</v>
      </c>
      <c r="F130" s="73">
        <f t="shared" si="8"/>
        <v>213</v>
      </c>
      <c r="G130" s="73">
        <f t="shared" si="9"/>
        <v>804</v>
      </c>
    </row>
    <row r="131" spans="1:7" x14ac:dyDescent="0.2">
      <c r="A131" s="72">
        <v>128</v>
      </c>
      <c r="B131" s="74">
        <v>44047</v>
      </c>
      <c r="C131" s="73">
        <v>0</v>
      </c>
      <c r="D131" s="73">
        <f t="shared" si="7"/>
        <v>1017</v>
      </c>
      <c r="E131" s="73">
        <v>0</v>
      </c>
      <c r="F131" s="73">
        <f t="shared" si="8"/>
        <v>213</v>
      </c>
      <c r="G131" s="73">
        <f t="shared" si="9"/>
        <v>804</v>
      </c>
    </row>
    <row r="132" spans="1:7" x14ac:dyDescent="0.2">
      <c r="A132" s="72">
        <v>129</v>
      </c>
      <c r="B132" s="74">
        <v>44048</v>
      </c>
      <c r="C132" s="73">
        <v>0</v>
      </c>
      <c r="D132" s="73">
        <f t="shared" si="7"/>
        <v>1017</v>
      </c>
      <c r="E132" s="73">
        <v>7</v>
      </c>
      <c r="F132" s="73">
        <f t="shared" si="8"/>
        <v>206</v>
      </c>
      <c r="G132" s="73">
        <f t="shared" si="9"/>
        <v>811</v>
      </c>
    </row>
    <row r="133" spans="1:7" x14ac:dyDescent="0.2">
      <c r="A133" s="72">
        <v>130</v>
      </c>
      <c r="B133" s="74">
        <v>44049</v>
      </c>
      <c r="C133" s="73">
        <v>0</v>
      </c>
      <c r="D133" s="73">
        <f t="shared" si="7"/>
        <v>1017</v>
      </c>
      <c r="E133" s="73">
        <v>9</v>
      </c>
      <c r="F133" s="73">
        <f t="shared" si="8"/>
        <v>197</v>
      </c>
      <c r="G133" s="73">
        <f t="shared" si="9"/>
        <v>820</v>
      </c>
    </row>
    <row r="134" spans="1:7" x14ac:dyDescent="0.2">
      <c r="A134" s="72">
        <v>131</v>
      </c>
      <c r="B134" s="74">
        <v>44050</v>
      </c>
      <c r="C134" s="73">
        <v>0</v>
      </c>
      <c r="D134" s="73">
        <f t="shared" si="7"/>
        <v>1017</v>
      </c>
      <c r="E134" s="73">
        <v>0</v>
      </c>
      <c r="F134" s="73">
        <f t="shared" si="8"/>
        <v>197</v>
      </c>
      <c r="G134" s="73">
        <f t="shared" si="9"/>
        <v>820</v>
      </c>
    </row>
    <row r="135" spans="1:7" x14ac:dyDescent="0.2">
      <c r="A135" s="72">
        <v>132</v>
      </c>
      <c r="B135" s="74">
        <v>44051</v>
      </c>
      <c r="C135" s="73">
        <v>0</v>
      </c>
      <c r="D135" s="73">
        <f t="shared" si="7"/>
        <v>1017</v>
      </c>
      <c r="E135" s="73">
        <v>4</v>
      </c>
      <c r="F135" s="73">
        <f t="shared" si="8"/>
        <v>193</v>
      </c>
      <c r="G135" s="73">
        <f t="shared" si="9"/>
        <v>824</v>
      </c>
    </row>
    <row r="136" spans="1:7" x14ac:dyDescent="0.2">
      <c r="A136" s="72">
        <v>133</v>
      </c>
      <c r="B136" s="74">
        <v>44052</v>
      </c>
      <c r="C136" s="73">
        <v>0</v>
      </c>
      <c r="D136" s="73">
        <f t="shared" si="7"/>
        <v>1017</v>
      </c>
      <c r="E136" s="73">
        <v>0</v>
      </c>
      <c r="F136" s="73">
        <f t="shared" si="8"/>
        <v>193</v>
      </c>
      <c r="G136" s="73">
        <f t="shared" si="9"/>
        <v>824</v>
      </c>
    </row>
    <row r="137" spans="1:7" x14ac:dyDescent="0.2">
      <c r="A137" s="72">
        <v>134</v>
      </c>
      <c r="B137" s="74">
        <v>44053</v>
      </c>
      <c r="C137" s="73">
        <v>0</v>
      </c>
      <c r="D137" s="73">
        <f t="shared" si="7"/>
        <v>1017</v>
      </c>
      <c r="E137" s="73">
        <v>3</v>
      </c>
      <c r="F137" s="73">
        <f t="shared" si="8"/>
        <v>190</v>
      </c>
      <c r="G137" s="73">
        <f t="shared" si="9"/>
        <v>827</v>
      </c>
    </row>
    <row r="138" spans="1:7" x14ac:dyDescent="0.2">
      <c r="A138" s="72">
        <v>135</v>
      </c>
      <c r="B138" s="74">
        <v>44054</v>
      </c>
      <c r="C138" s="73">
        <v>0</v>
      </c>
      <c r="D138" s="73">
        <f t="shared" si="7"/>
        <v>1017</v>
      </c>
      <c r="E138" s="73">
        <v>9</v>
      </c>
      <c r="F138" s="73">
        <f t="shared" si="8"/>
        <v>181</v>
      </c>
      <c r="G138" s="73">
        <f t="shared" si="9"/>
        <v>836</v>
      </c>
    </row>
    <row r="139" spans="1:7" x14ac:dyDescent="0.2">
      <c r="A139" s="72">
        <v>136</v>
      </c>
      <c r="B139" s="74">
        <v>44055</v>
      </c>
      <c r="C139" s="73">
        <v>0</v>
      </c>
      <c r="D139" s="73">
        <f t="shared" si="7"/>
        <v>1017</v>
      </c>
      <c r="E139" s="73">
        <v>0</v>
      </c>
      <c r="F139" s="73">
        <f t="shared" si="8"/>
        <v>181</v>
      </c>
      <c r="G139" s="73">
        <f t="shared" si="9"/>
        <v>836</v>
      </c>
    </row>
    <row r="140" spans="1:7" x14ac:dyDescent="0.2">
      <c r="A140" s="72">
        <v>137</v>
      </c>
      <c r="B140" s="74">
        <v>44056</v>
      </c>
      <c r="C140" s="73">
        <v>0</v>
      </c>
      <c r="D140" s="73">
        <f t="shared" si="7"/>
        <v>1017</v>
      </c>
      <c r="E140" s="73">
        <v>0</v>
      </c>
      <c r="F140" s="73">
        <f t="shared" si="8"/>
        <v>181</v>
      </c>
      <c r="G140" s="73">
        <f t="shared" si="9"/>
        <v>836</v>
      </c>
    </row>
    <row r="141" spans="1:7" x14ac:dyDescent="0.2">
      <c r="A141" s="72">
        <v>138</v>
      </c>
      <c r="B141" s="74">
        <v>44057</v>
      </c>
      <c r="C141" s="73">
        <v>0</v>
      </c>
      <c r="D141" s="73">
        <f t="shared" si="7"/>
        <v>1017</v>
      </c>
      <c r="E141" s="73">
        <v>4</v>
      </c>
      <c r="F141" s="73">
        <f t="shared" si="8"/>
        <v>177</v>
      </c>
      <c r="G141" s="73">
        <f t="shared" si="9"/>
        <v>840</v>
      </c>
    </row>
    <row r="142" spans="1:7" x14ac:dyDescent="0.2">
      <c r="A142" s="72">
        <v>139</v>
      </c>
      <c r="B142" s="74">
        <v>44058</v>
      </c>
      <c r="C142" s="73">
        <v>0</v>
      </c>
      <c r="D142" s="73">
        <f t="shared" si="7"/>
        <v>1017</v>
      </c>
      <c r="E142" s="73">
        <v>7</v>
      </c>
      <c r="F142" s="73">
        <f t="shared" si="8"/>
        <v>170</v>
      </c>
      <c r="G142" s="73">
        <f t="shared" si="9"/>
        <v>847</v>
      </c>
    </row>
    <row r="143" spans="1:7" x14ac:dyDescent="0.2">
      <c r="A143" s="72">
        <v>140</v>
      </c>
      <c r="B143" s="74">
        <v>44059</v>
      </c>
      <c r="C143" s="73">
        <v>0</v>
      </c>
      <c r="D143" s="73">
        <f t="shared" si="7"/>
        <v>1017</v>
      </c>
      <c r="E143" s="73">
        <v>0</v>
      </c>
      <c r="F143" s="73">
        <f t="shared" si="8"/>
        <v>170</v>
      </c>
      <c r="G143" s="73">
        <f t="shared" si="9"/>
        <v>847</v>
      </c>
    </row>
    <row r="144" spans="1:7" x14ac:dyDescent="0.2">
      <c r="A144" s="72">
        <v>141</v>
      </c>
      <c r="B144" s="74">
        <v>44060</v>
      </c>
      <c r="C144" s="73">
        <v>0</v>
      </c>
      <c r="D144" s="73">
        <f t="shared" si="7"/>
        <v>1017</v>
      </c>
      <c r="E144" s="73">
        <v>6</v>
      </c>
      <c r="F144" s="73">
        <f t="shared" si="8"/>
        <v>164</v>
      </c>
      <c r="G144" s="73">
        <f t="shared" si="9"/>
        <v>853</v>
      </c>
    </row>
    <row r="145" spans="1:7" x14ac:dyDescent="0.2">
      <c r="A145" s="72">
        <v>142</v>
      </c>
      <c r="B145" s="74">
        <v>44061</v>
      </c>
      <c r="C145" s="73">
        <v>0</v>
      </c>
      <c r="D145" s="73">
        <f t="shared" si="7"/>
        <v>1017</v>
      </c>
      <c r="E145" s="73">
        <v>0</v>
      </c>
      <c r="F145" s="73">
        <f t="shared" si="8"/>
        <v>164</v>
      </c>
      <c r="G145" s="73">
        <f t="shared" si="9"/>
        <v>853</v>
      </c>
    </row>
    <row r="146" spans="1:7" x14ac:dyDescent="0.2">
      <c r="A146" s="72">
        <v>143</v>
      </c>
      <c r="B146" s="74">
        <v>44062</v>
      </c>
      <c r="C146" s="73">
        <v>0</v>
      </c>
      <c r="D146" s="73">
        <f t="shared" si="7"/>
        <v>1017</v>
      </c>
      <c r="E146" s="73">
        <v>4</v>
      </c>
      <c r="F146" s="73">
        <f t="shared" si="8"/>
        <v>160</v>
      </c>
      <c r="G146" s="73">
        <f t="shared" si="9"/>
        <v>857</v>
      </c>
    </row>
    <row r="147" spans="1:7" x14ac:dyDescent="0.2">
      <c r="A147" s="72">
        <v>144</v>
      </c>
      <c r="B147" s="74">
        <v>44063</v>
      </c>
      <c r="C147" s="73">
        <v>0</v>
      </c>
      <c r="D147" s="73">
        <f t="shared" si="7"/>
        <v>1017</v>
      </c>
      <c r="E147" s="73">
        <v>0</v>
      </c>
      <c r="F147" s="73">
        <f t="shared" si="8"/>
        <v>160</v>
      </c>
      <c r="G147" s="73">
        <f t="shared" si="9"/>
        <v>857</v>
      </c>
    </row>
    <row r="148" spans="1:7" x14ac:dyDescent="0.2">
      <c r="A148" s="72">
        <v>145</v>
      </c>
      <c r="B148" s="74">
        <v>44064</v>
      </c>
      <c r="C148" s="73">
        <v>0</v>
      </c>
      <c r="D148" s="73">
        <f t="shared" si="7"/>
        <v>1017</v>
      </c>
      <c r="E148" s="73">
        <v>3</v>
      </c>
      <c r="F148" s="73">
        <f t="shared" si="8"/>
        <v>157</v>
      </c>
      <c r="G148" s="73">
        <f t="shared" si="9"/>
        <v>860</v>
      </c>
    </row>
    <row r="149" spans="1:7" x14ac:dyDescent="0.2">
      <c r="A149" s="72">
        <v>146</v>
      </c>
      <c r="B149" s="74">
        <v>44065</v>
      </c>
      <c r="C149" s="73">
        <v>0</v>
      </c>
      <c r="D149" s="73">
        <f t="shared" si="7"/>
        <v>1017</v>
      </c>
      <c r="E149" s="73">
        <v>1</v>
      </c>
      <c r="F149" s="73">
        <f t="shared" si="8"/>
        <v>156</v>
      </c>
      <c r="G149" s="73">
        <f t="shared" si="9"/>
        <v>861</v>
      </c>
    </row>
    <row r="150" spans="1:7" x14ac:dyDescent="0.2">
      <c r="A150" s="72">
        <v>147</v>
      </c>
      <c r="B150" s="74">
        <v>44066</v>
      </c>
      <c r="C150" s="73">
        <v>0</v>
      </c>
      <c r="D150" s="73">
        <f t="shared" si="7"/>
        <v>1017</v>
      </c>
      <c r="E150" s="73">
        <v>3</v>
      </c>
      <c r="F150" s="73">
        <f t="shared" si="8"/>
        <v>153</v>
      </c>
      <c r="G150" s="73">
        <f t="shared" si="9"/>
        <v>864</v>
      </c>
    </row>
    <row r="151" spans="1:7" x14ac:dyDescent="0.2">
      <c r="A151" s="72">
        <v>148</v>
      </c>
      <c r="B151" s="74">
        <v>44067</v>
      </c>
      <c r="C151" s="73">
        <v>0</v>
      </c>
      <c r="D151" s="73">
        <f t="shared" si="7"/>
        <v>1017</v>
      </c>
      <c r="E151" s="73">
        <v>0</v>
      </c>
      <c r="F151" s="73">
        <f t="shared" si="8"/>
        <v>153</v>
      </c>
      <c r="G151" s="73">
        <f t="shared" si="9"/>
        <v>864</v>
      </c>
    </row>
    <row r="152" spans="1:7" x14ac:dyDescent="0.2">
      <c r="A152" s="72">
        <v>149</v>
      </c>
      <c r="B152" s="74">
        <v>44068</v>
      </c>
      <c r="C152" s="73">
        <v>0</v>
      </c>
      <c r="D152" s="73">
        <f t="shared" si="7"/>
        <v>1017</v>
      </c>
      <c r="E152" s="73">
        <v>3</v>
      </c>
      <c r="F152" s="73">
        <f t="shared" si="8"/>
        <v>150</v>
      </c>
      <c r="G152" s="73">
        <f t="shared" si="9"/>
        <v>867</v>
      </c>
    </row>
    <row r="153" spans="1:7" x14ac:dyDescent="0.2">
      <c r="A153" s="72">
        <v>150</v>
      </c>
      <c r="B153" s="74">
        <v>44069</v>
      </c>
      <c r="C153" s="73">
        <v>116</v>
      </c>
      <c r="D153" s="73">
        <f t="shared" si="7"/>
        <v>1133</v>
      </c>
      <c r="E153" s="73">
        <v>33</v>
      </c>
      <c r="F153" s="73">
        <f t="shared" si="8"/>
        <v>233</v>
      </c>
      <c r="G153" s="73">
        <f t="shared" si="9"/>
        <v>900</v>
      </c>
    </row>
    <row r="154" spans="1:7" x14ac:dyDescent="0.2">
      <c r="A154" s="72">
        <v>151</v>
      </c>
      <c r="B154" s="74">
        <v>44070</v>
      </c>
      <c r="C154" s="73">
        <v>106</v>
      </c>
      <c r="D154" s="73">
        <f t="shared" si="7"/>
        <v>1239</v>
      </c>
      <c r="E154" s="73">
        <v>59</v>
      </c>
      <c r="F154" s="73">
        <f t="shared" si="8"/>
        <v>280</v>
      </c>
      <c r="G154" s="73">
        <f t="shared" si="9"/>
        <v>959</v>
      </c>
    </row>
    <row r="155" spans="1:7" x14ac:dyDescent="0.2">
      <c r="A155" s="72">
        <v>152</v>
      </c>
      <c r="B155" s="74">
        <v>44071</v>
      </c>
      <c r="C155" s="73">
        <v>114</v>
      </c>
      <c r="D155" s="73">
        <f t="shared" si="7"/>
        <v>1353</v>
      </c>
      <c r="E155" s="73">
        <v>50</v>
      </c>
      <c r="F155" s="73">
        <f t="shared" si="8"/>
        <v>344</v>
      </c>
      <c r="G155" s="73">
        <f t="shared" si="9"/>
        <v>1009</v>
      </c>
    </row>
    <row r="156" spans="1:7" x14ac:dyDescent="0.2">
      <c r="A156" s="72">
        <v>153</v>
      </c>
      <c r="B156" s="74">
        <v>44072</v>
      </c>
      <c r="C156" s="73">
        <v>149</v>
      </c>
      <c r="D156" s="73">
        <f t="shared" si="7"/>
        <v>1502</v>
      </c>
      <c r="E156" s="73">
        <v>124</v>
      </c>
      <c r="F156" s="73">
        <f t="shared" si="8"/>
        <v>369</v>
      </c>
      <c r="G156" s="73">
        <f t="shared" si="9"/>
        <v>1133</v>
      </c>
    </row>
    <row r="157" spans="1:7" x14ac:dyDescent="0.2">
      <c r="A157" s="72">
        <v>154</v>
      </c>
      <c r="B157" s="74">
        <v>44073</v>
      </c>
      <c r="C157" s="73">
        <v>149</v>
      </c>
      <c r="D157" s="73">
        <f t="shared" si="7"/>
        <v>1651</v>
      </c>
      <c r="E157" s="73">
        <v>123</v>
      </c>
      <c r="F157" s="73">
        <f t="shared" si="8"/>
        <v>395</v>
      </c>
      <c r="G157" s="73">
        <f t="shared" si="9"/>
        <v>1256</v>
      </c>
    </row>
    <row r="158" spans="1:7" s="90" customFormat="1" x14ac:dyDescent="0.2">
      <c r="A158" s="87">
        <v>155</v>
      </c>
      <c r="B158" s="88">
        <v>44074</v>
      </c>
      <c r="C158" s="89">
        <v>190</v>
      </c>
      <c r="D158" s="89">
        <f t="shared" si="7"/>
        <v>1841</v>
      </c>
      <c r="E158" s="89">
        <v>354</v>
      </c>
      <c r="F158" s="89">
        <f t="shared" si="8"/>
        <v>231</v>
      </c>
      <c r="G158" s="89">
        <f t="shared" si="9"/>
        <v>1610</v>
      </c>
    </row>
    <row r="159" spans="1:7" x14ac:dyDescent="0.2">
      <c r="A159" s="72">
        <v>156</v>
      </c>
      <c r="B159" s="74">
        <v>44075</v>
      </c>
      <c r="C159" s="73">
        <v>235</v>
      </c>
      <c r="D159" s="73">
        <f t="shared" si="7"/>
        <v>2076</v>
      </c>
      <c r="E159" s="73">
        <v>135</v>
      </c>
      <c r="F159" s="73">
        <f t="shared" si="8"/>
        <v>331</v>
      </c>
      <c r="G159" s="73">
        <f t="shared" si="9"/>
        <v>1745</v>
      </c>
    </row>
    <row r="160" spans="1:7" x14ac:dyDescent="0.2">
      <c r="A160" s="72">
        <v>157</v>
      </c>
      <c r="B160" s="74">
        <v>44076</v>
      </c>
      <c r="C160" s="73">
        <v>178</v>
      </c>
      <c r="D160" s="73">
        <f t="shared" si="7"/>
        <v>2254</v>
      </c>
      <c r="E160" s="73">
        <v>147</v>
      </c>
      <c r="F160" s="73">
        <f t="shared" si="8"/>
        <v>362</v>
      </c>
      <c r="G160" s="73">
        <f t="shared" si="9"/>
        <v>1892</v>
      </c>
    </row>
    <row r="161" spans="1:7" x14ac:dyDescent="0.2">
      <c r="A161" s="72">
        <v>158</v>
      </c>
      <c r="B161" s="74">
        <v>44077</v>
      </c>
      <c r="C161" s="73">
        <v>141</v>
      </c>
      <c r="D161" s="73">
        <f t="shared" si="7"/>
        <v>2395</v>
      </c>
      <c r="E161" s="73">
        <v>184</v>
      </c>
      <c r="F161" s="73">
        <f t="shared" si="8"/>
        <v>319</v>
      </c>
      <c r="G161" s="73">
        <f t="shared" si="9"/>
        <v>2076</v>
      </c>
    </row>
    <row r="162" spans="1:7" x14ac:dyDescent="0.2">
      <c r="A162" s="72">
        <v>159</v>
      </c>
      <c r="B162" s="74">
        <v>44078</v>
      </c>
      <c r="C162" s="73">
        <v>367</v>
      </c>
      <c r="D162" s="73">
        <f t="shared" si="7"/>
        <v>2762</v>
      </c>
      <c r="E162" s="73">
        <v>257</v>
      </c>
      <c r="F162" s="73">
        <f t="shared" si="8"/>
        <v>429</v>
      </c>
      <c r="G162" s="73">
        <f t="shared" si="9"/>
        <v>2333</v>
      </c>
    </row>
    <row r="163" spans="1:7" x14ac:dyDescent="0.2">
      <c r="A163" s="72">
        <v>160</v>
      </c>
      <c r="B163" s="74">
        <v>44079</v>
      </c>
      <c r="C163" s="73">
        <v>195</v>
      </c>
      <c r="D163" s="73">
        <f t="shared" si="7"/>
        <v>2957</v>
      </c>
      <c r="E163" s="73">
        <v>289</v>
      </c>
      <c r="F163" s="73">
        <f t="shared" si="8"/>
        <v>335</v>
      </c>
      <c r="G163" s="73">
        <f t="shared" si="9"/>
        <v>2622</v>
      </c>
    </row>
    <row r="164" spans="1:7" x14ac:dyDescent="0.2">
      <c r="A164" s="72">
        <v>161</v>
      </c>
      <c r="B164" s="74">
        <v>44080</v>
      </c>
      <c r="C164" s="73">
        <v>194</v>
      </c>
      <c r="D164" s="73">
        <f t="shared" si="7"/>
        <v>3151</v>
      </c>
      <c r="E164" s="73">
        <v>128</v>
      </c>
      <c r="F164" s="73">
        <f t="shared" si="8"/>
        <v>401</v>
      </c>
      <c r="G164" s="73">
        <f t="shared" si="9"/>
        <v>2750</v>
      </c>
    </row>
    <row r="165" spans="1:7" x14ac:dyDescent="0.2">
      <c r="A165" s="72">
        <v>162</v>
      </c>
      <c r="B165" s="74">
        <v>44081</v>
      </c>
      <c r="C165" s="73">
        <v>78</v>
      </c>
      <c r="D165" s="73">
        <f t="shared" si="7"/>
        <v>3229</v>
      </c>
      <c r="E165" s="73">
        <v>250</v>
      </c>
      <c r="F165" s="73">
        <f t="shared" si="8"/>
        <v>229</v>
      </c>
      <c r="G165" s="73">
        <f t="shared" si="9"/>
        <v>3000</v>
      </c>
    </row>
    <row r="166" spans="1:7" x14ac:dyDescent="0.2">
      <c r="A166" s="72">
        <v>163</v>
      </c>
      <c r="B166" s="74">
        <v>44082</v>
      </c>
      <c r="C166" s="73">
        <v>232</v>
      </c>
      <c r="D166" s="73">
        <f t="shared" si="7"/>
        <v>3461</v>
      </c>
      <c r="E166" s="73">
        <v>151</v>
      </c>
      <c r="F166" s="73">
        <f t="shared" si="8"/>
        <v>310</v>
      </c>
      <c r="G166" s="73">
        <f t="shared" si="9"/>
        <v>3151</v>
      </c>
    </row>
    <row r="167" spans="1:7" x14ac:dyDescent="0.2">
      <c r="A167" s="72">
        <v>164</v>
      </c>
      <c r="B167" s="74">
        <v>44083</v>
      </c>
      <c r="C167" s="73">
        <v>150</v>
      </c>
      <c r="D167" s="73">
        <f t="shared" si="7"/>
        <v>3611</v>
      </c>
      <c r="E167" s="73">
        <v>99</v>
      </c>
      <c r="F167" s="73">
        <f t="shared" si="8"/>
        <v>361</v>
      </c>
      <c r="G167" s="73">
        <f t="shared" si="9"/>
        <v>3250</v>
      </c>
    </row>
    <row r="168" spans="1:7" x14ac:dyDescent="0.2">
      <c r="A168" s="72">
        <v>165</v>
      </c>
      <c r="B168" s="74">
        <v>44084</v>
      </c>
      <c r="C168" s="73">
        <v>150</v>
      </c>
      <c r="D168" s="73">
        <f t="shared" si="7"/>
        <v>3761</v>
      </c>
      <c r="E168" s="73">
        <v>129</v>
      </c>
      <c r="F168" s="73">
        <f t="shared" si="8"/>
        <v>382</v>
      </c>
      <c r="G168" s="73">
        <f t="shared" si="9"/>
        <v>3379</v>
      </c>
    </row>
    <row r="169" spans="1:7" x14ac:dyDescent="0.2">
      <c r="A169" s="72">
        <v>166</v>
      </c>
      <c r="B169" s="74">
        <v>44085</v>
      </c>
      <c r="C169" s="73">
        <v>126</v>
      </c>
      <c r="D169" s="73">
        <f t="shared" si="7"/>
        <v>3887</v>
      </c>
      <c r="E169" s="73">
        <v>232</v>
      </c>
      <c r="F169" s="73">
        <f t="shared" si="8"/>
        <v>276</v>
      </c>
      <c r="G169" s="73">
        <f t="shared" si="9"/>
        <v>3611</v>
      </c>
    </row>
    <row r="170" spans="1:7" x14ac:dyDescent="0.2">
      <c r="A170" s="72">
        <v>167</v>
      </c>
      <c r="B170" s="74">
        <v>44086</v>
      </c>
      <c r="C170" s="73">
        <v>97</v>
      </c>
      <c r="D170" s="73">
        <f t="shared" si="7"/>
        <v>3984</v>
      </c>
      <c r="E170" s="73">
        <v>150</v>
      </c>
      <c r="F170" s="73">
        <f t="shared" si="8"/>
        <v>223</v>
      </c>
      <c r="G170" s="73">
        <f t="shared" si="9"/>
        <v>3761</v>
      </c>
    </row>
    <row r="171" spans="1:7" x14ac:dyDescent="0.2">
      <c r="A171" s="72">
        <v>168</v>
      </c>
      <c r="B171" s="74">
        <v>44087</v>
      </c>
      <c r="C171" s="73">
        <v>86</v>
      </c>
      <c r="D171" s="73">
        <f t="shared" si="7"/>
        <v>4070</v>
      </c>
      <c r="E171" s="73">
        <v>82</v>
      </c>
      <c r="F171" s="73">
        <f t="shared" si="8"/>
        <v>227</v>
      </c>
      <c r="G171" s="73">
        <f t="shared" si="9"/>
        <v>3843</v>
      </c>
    </row>
    <row r="172" spans="1:7" x14ac:dyDescent="0.2">
      <c r="A172" s="72">
        <v>169</v>
      </c>
      <c r="B172" s="74">
        <v>44088</v>
      </c>
      <c r="C172" s="73">
        <v>85</v>
      </c>
      <c r="D172" s="73">
        <f t="shared" si="7"/>
        <v>4155</v>
      </c>
      <c r="E172" s="73">
        <v>134</v>
      </c>
      <c r="F172" s="73">
        <f t="shared" si="8"/>
        <v>178</v>
      </c>
      <c r="G172" s="73">
        <f t="shared" si="9"/>
        <v>3977</v>
      </c>
    </row>
    <row r="173" spans="1:7" x14ac:dyDescent="0.2">
      <c r="A173" s="72">
        <v>170</v>
      </c>
      <c r="B173" s="74">
        <v>44089</v>
      </c>
      <c r="C173" s="73">
        <v>305</v>
      </c>
      <c r="D173" s="73">
        <f t="shared" si="7"/>
        <v>4460</v>
      </c>
      <c r="E173" s="73">
        <v>93</v>
      </c>
      <c r="F173" s="73">
        <f t="shared" si="8"/>
        <v>390</v>
      </c>
      <c r="G173" s="73">
        <f t="shared" si="9"/>
        <v>4070</v>
      </c>
    </row>
    <row r="174" spans="1:7" x14ac:dyDescent="0.2">
      <c r="A174" s="72">
        <v>171</v>
      </c>
      <c r="B174" s="74">
        <v>44090</v>
      </c>
      <c r="C174" s="73">
        <v>71</v>
      </c>
      <c r="D174" s="73">
        <f t="shared" si="7"/>
        <v>4531</v>
      </c>
      <c r="E174" s="73">
        <v>203</v>
      </c>
      <c r="F174" s="73">
        <f t="shared" si="8"/>
        <v>258</v>
      </c>
      <c r="G174" s="73">
        <f t="shared" si="9"/>
        <v>4273</v>
      </c>
    </row>
    <row r="175" spans="1:7" x14ac:dyDescent="0.2">
      <c r="A175" s="72">
        <v>172</v>
      </c>
      <c r="B175" s="74">
        <v>44091</v>
      </c>
      <c r="C175" s="73">
        <v>257</v>
      </c>
      <c r="D175" s="73">
        <f t="shared" si="7"/>
        <v>4788</v>
      </c>
      <c r="E175" s="73">
        <v>247</v>
      </c>
      <c r="F175" s="73">
        <f t="shared" si="8"/>
        <v>268</v>
      </c>
      <c r="G175" s="73">
        <f t="shared" si="9"/>
        <v>4520</v>
      </c>
    </row>
    <row r="176" spans="1:7" x14ac:dyDescent="0.2">
      <c r="A176" s="72">
        <v>173</v>
      </c>
      <c r="B176" s="74">
        <v>44092</v>
      </c>
      <c r="C176" s="73">
        <v>150</v>
      </c>
      <c r="D176" s="73">
        <f t="shared" si="7"/>
        <v>4938</v>
      </c>
      <c r="E176" s="73">
        <v>180</v>
      </c>
      <c r="F176" s="73">
        <f t="shared" si="8"/>
        <v>238</v>
      </c>
      <c r="G176" s="73">
        <f t="shared" si="9"/>
        <v>4700</v>
      </c>
    </row>
    <row r="177" spans="1:7" x14ac:dyDescent="0.2">
      <c r="A177" s="72">
        <v>174</v>
      </c>
      <c r="B177" s="74">
        <v>44093</v>
      </c>
      <c r="C177" s="73">
        <v>247</v>
      </c>
      <c r="D177" s="73">
        <f t="shared" si="7"/>
        <v>5185</v>
      </c>
      <c r="E177" s="73">
        <v>202</v>
      </c>
      <c r="F177" s="73">
        <f t="shared" si="8"/>
        <v>283</v>
      </c>
      <c r="G177" s="73">
        <f t="shared" si="9"/>
        <v>4902</v>
      </c>
    </row>
    <row r="178" spans="1:7" x14ac:dyDescent="0.2">
      <c r="A178" s="72">
        <v>175</v>
      </c>
      <c r="B178" s="74">
        <v>44094</v>
      </c>
      <c r="C178" s="73">
        <v>112</v>
      </c>
      <c r="D178" s="73">
        <f t="shared" si="7"/>
        <v>5297</v>
      </c>
      <c r="E178" s="73">
        <v>194</v>
      </c>
      <c r="F178" s="73">
        <f t="shared" si="8"/>
        <v>201</v>
      </c>
      <c r="G178" s="73">
        <f t="shared" si="9"/>
        <v>5096</v>
      </c>
    </row>
    <row r="179" spans="1:7" x14ac:dyDescent="0.2">
      <c r="A179" s="72">
        <v>176</v>
      </c>
      <c r="B179" s="74">
        <v>44095</v>
      </c>
      <c r="C179" s="73">
        <v>115</v>
      </c>
      <c r="D179" s="73">
        <f t="shared" si="7"/>
        <v>5412</v>
      </c>
      <c r="E179" s="73">
        <v>195</v>
      </c>
      <c r="F179" s="73">
        <f t="shared" si="8"/>
        <v>121</v>
      </c>
      <c r="G179" s="73">
        <f t="shared" si="9"/>
        <v>5291</v>
      </c>
    </row>
    <row r="180" spans="1:7" x14ac:dyDescent="0.2">
      <c r="A180" s="72">
        <v>177</v>
      </c>
      <c r="B180" s="74">
        <v>44096</v>
      </c>
      <c r="C180" s="73">
        <v>421</v>
      </c>
      <c r="D180" s="73">
        <f t="shared" si="7"/>
        <v>5833</v>
      </c>
      <c r="E180" s="73">
        <v>121</v>
      </c>
      <c r="F180" s="73">
        <f t="shared" si="8"/>
        <v>421</v>
      </c>
      <c r="G180" s="73">
        <f t="shared" si="9"/>
        <v>5412</v>
      </c>
    </row>
    <row r="181" spans="1:7" x14ac:dyDescent="0.2">
      <c r="A181" s="72">
        <v>178</v>
      </c>
      <c r="B181" s="74">
        <v>44097</v>
      </c>
      <c r="C181" s="73">
        <v>245</v>
      </c>
      <c r="D181" s="73">
        <f t="shared" si="7"/>
        <v>6078</v>
      </c>
      <c r="E181" s="73">
        <v>138</v>
      </c>
      <c r="F181" s="73">
        <f t="shared" si="8"/>
        <v>528</v>
      </c>
      <c r="G181" s="73">
        <f t="shared" si="9"/>
        <v>5550</v>
      </c>
    </row>
    <row r="182" spans="1:7" x14ac:dyDescent="0.2">
      <c r="A182" s="72">
        <v>179</v>
      </c>
      <c r="B182" s="74">
        <v>44098</v>
      </c>
      <c r="C182" s="73">
        <v>168</v>
      </c>
      <c r="D182" s="73">
        <f t="shared" si="7"/>
        <v>6246</v>
      </c>
      <c r="E182" s="73">
        <v>27</v>
      </c>
      <c r="F182" s="73">
        <f t="shared" si="8"/>
        <v>669</v>
      </c>
      <c r="G182" s="73">
        <f t="shared" si="9"/>
        <v>5577</v>
      </c>
    </row>
    <row r="183" spans="1:7" x14ac:dyDescent="0.2">
      <c r="A183" s="72">
        <v>180</v>
      </c>
      <c r="B183" s="74">
        <v>44099</v>
      </c>
      <c r="C183" s="73">
        <v>259</v>
      </c>
      <c r="D183" s="73">
        <f t="shared" si="7"/>
        <v>6505</v>
      </c>
      <c r="E183" s="73">
        <v>138</v>
      </c>
      <c r="F183" s="73">
        <f t="shared" si="8"/>
        <v>790</v>
      </c>
      <c r="G183" s="73">
        <f t="shared" si="9"/>
        <v>5715</v>
      </c>
    </row>
    <row r="184" spans="1:7" x14ac:dyDescent="0.2">
      <c r="A184" s="72">
        <v>181</v>
      </c>
      <c r="B184" s="74">
        <v>44100</v>
      </c>
      <c r="C184" s="73">
        <v>305</v>
      </c>
      <c r="D184" s="73">
        <f t="shared" si="7"/>
        <v>6810</v>
      </c>
      <c r="E184" s="73">
        <v>363</v>
      </c>
      <c r="F184" s="73">
        <f t="shared" si="8"/>
        <v>732</v>
      </c>
      <c r="G184" s="73">
        <f t="shared" si="9"/>
        <v>6078</v>
      </c>
    </row>
    <row r="185" spans="1:7" x14ac:dyDescent="0.2">
      <c r="A185" s="72">
        <v>182</v>
      </c>
      <c r="B185" s="74">
        <v>44101</v>
      </c>
      <c r="C185" s="73">
        <v>92</v>
      </c>
      <c r="D185" s="73">
        <f t="shared" si="7"/>
        <v>6902</v>
      </c>
      <c r="E185" s="73">
        <v>168</v>
      </c>
      <c r="F185" s="73">
        <f t="shared" si="8"/>
        <v>656</v>
      </c>
      <c r="G185" s="73">
        <f t="shared" si="9"/>
        <v>6246</v>
      </c>
    </row>
    <row r="186" spans="1:7" x14ac:dyDescent="0.2">
      <c r="A186" s="72">
        <v>183</v>
      </c>
      <c r="B186" s="74">
        <v>44102</v>
      </c>
      <c r="C186" s="73">
        <v>23</v>
      </c>
      <c r="D186" s="73">
        <f t="shared" ref="D186:D209" si="10">D185+C186</f>
        <v>6925</v>
      </c>
      <c r="E186" s="73">
        <v>0</v>
      </c>
      <c r="F186" s="73">
        <f t="shared" ref="F186:F209" si="11">F185+C186-E186</f>
        <v>679</v>
      </c>
      <c r="G186" s="73">
        <f t="shared" ref="G186:G209" si="12">G185+E186</f>
        <v>6246</v>
      </c>
    </row>
    <row r="187" spans="1:7" x14ac:dyDescent="0.2">
      <c r="A187" s="72">
        <v>184</v>
      </c>
      <c r="B187" s="74">
        <v>44103</v>
      </c>
      <c r="C187" s="73">
        <v>82</v>
      </c>
      <c r="D187" s="73">
        <f t="shared" si="10"/>
        <v>7007</v>
      </c>
      <c r="E187" s="73">
        <v>163</v>
      </c>
      <c r="F187" s="73">
        <f t="shared" si="11"/>
        <v>598</v>
      </c>
      <c r="G187" s="73">
        <f t="shared" si="12"/>
        <v>6409</v>
      </c>
    </row>
    <row r="188" spans="1:7" x14ac:dyDescent="0.2">
      <c r="A188" s="72">
        <v>185</v>
      </c>
      <c r="B188" s="74">
        <v>44104</v>
      </c>
      <c r="C188" s="73">
        <v>270</v>
      </c>
      <c r="D188" s="73">
        <f t="shared" si="10"/>
        <v>7277</v>
      </c>
      <c r="E188" s="73">
        <v>96</v>
      </c>
      <c r="F188" s="73">
        <f t="shared" si="11"/>
        <v>772</v>
      </c>
      <c r="G188" s="73">
        <f t="shared" si="12"/>
        <v>6505</v>
      </c>
    </row>
    <row r="189" spans="1:7" x14ac:dyDescent="0.2">
      <c r="A189" s="72">
        <v>186</v>
      </c>
      <c r="B189" s="74">
        <v>44105</v>
      </c>
      <c r="C189" s="73">
        <v>62</v>
      </c>
      <c r="D189" s="73">
        <f t="shared" si="10"/>
        <v>7339</v>
      </c>
      <c r="E189" s="73">
        <v>106</v>
      </c>
      <c r="F189" s="73">
        <f t="shared" si="11"/>
        <v>728</v>
      </c>
      <c r="G189" s="73">
        <f t="shared" si="12"/>
        <v>6611</v>
      </c>
    </row>
    <row r="190" spans="1:7" x14ac:dyDescent="0.2">
      <c r="A190" s="72">
        <v>187</v>
      </c>
      <c r="B190" s="74">
        <v>44106</v>
      </c>
      <c r="C190" s="73">
        <v>106</v>
      </c>
      <c r="D190" s="73">
        <f t="shared" si="10"/>
        <v>7445</v>
      </c>
      <c r="E190" s="73">
        <v>64</v>
      </c>
      <c r="F190" s="73">
        <f t="shared" si="11"/>
        <v>770</v>
      </c>
      <c r="G190" s="73">
        <f t="shared" si="12"/>
        <v>6675</v>
      </c>
    </row>
    <row r="191" spans="1:7" x14ac:dyDescent="0.2">
      <c r="A191" s="72">
        <v>188</v>
      </c>
      <c r="B191" s="74">
        <v>44107</v>
      </c>
      <c r="C191" s="73">
        <v>39</v>
      </c>
      <c r="D191" s="73">
        <f t="shared" si="10"/>
        <v>7484</v>
      </c>
      <c r="E191" s="73">
        <v>135</v>
      </c>
      <c r="F191" s="73">
        <f t="shared" si="11"/>
        <v>674</v>
      </c>
      <c r="G191" s="73">
        <f t="shared" si="12"/>
        <v>6810</v>
      </c>
    </row>
    <row r="192" spans="1:7" x14ac:dyDescent="0.2">
      <c r="A192" s="72">
        <v>189</v>
      </c>
      <c r="B192" s="74">
        <v>44108</v>
      </c>
      <c r="C192" s="73">
        <v>0</v>
      </c>
      <c r="D192" s="73">
        <f t="shared" si="10"/>
        <v>7484</v>
      </c>
      <c r="E192" s="73">
        <v>17</v>
      </c>
      <c r="F192" s="73">
        <f t="shared" si="11"/>
        <v>657</v>
      </c>
      <c r="G192" s="73">
        <f t="shared" si="12"/>
        <v>6827</v>
      </c>
    </row>
    <row r="193" spans="1:7" x14ac:dyDescent="0.2">
      <c r="A193" s="72">
        <v>190</v>
      </c>
      <c r="B193" s="74">
        <v>44109</v>
      </c>
      <c r="C193" s="73">
        <v>101</v>
      </c>
      <c r="D193" s="73">
        <f t="shared" si="10"/>
        <v>7585</v>
      </c>
      <c r="E193" s="73">
        <v>75</v>
      </c>
      <c r="F193" s="73">
        <f t="shared" si="11"/>
        <v>683</v>
      </c>
      <c r="G193" s="73">
        <f t="shared" si="12"/>
        <v>6902</v>
      </c>
    </row>
    <row r="194" spans="1:7" x14ac:dyDescent="0.2">
      <c r="A194" s="72">
        <v>191</v>
      </c>
      <c r="B194" s="74">
        <v>44110</v>
      </c>
      <c r="C194" s="73">
        <v>27</v>
      </c>
      <c r="D194" s="73">
        <f t="shared" si="10"/>
        <v>7612</v>
      </c>
      <c r="E194" s="73">
        <v>211</v>
      </c>
      <c r="F194" s="73">
        <f t="shared" si="11"/>
        <v>499</v>
      </c>
      <c r="G194" s="73">
        <f t="shared" si="12"/>
        <v>7113</v>
      </c>
    </row>
    <row r="195" spans="1:7" x14ac:dyDescent="0.2">
      <c r="A195" s="72">
        <v>192</v>
      </c>
      <c r="B195" s="74">
        <v>44111</v>
      </c>
      <c r="C195" s="73">
        <v>25</v>
      </c>
      <c r="D195" s="73">
        <f t="shared" si="10"/>
        <v>7637</v>
      </c>
      <c r="E195" s="73">
        <v>105</v>
      </c>
      <c r="F195" s="73">
        <f t="shared" si="11"/>
        <v>419</v>
      </c>
      <c r="G195" s="73">
        <f t="shared" si="12"/>
        <v>7218</v>
      </c>
    </row>
    <row r="196" spans="1:7" x14ac:dyDescent="0.2">
      <c r="A196" s="72">
        <v>193</v>
      </c>
      <c r="B196" s="74">
        <v>44112</v>
      </c>
      <c r="C196" s="73">
        <v>23</v>
      </c>
      <c r="D196" s="73">
        <f t="shared" si="10"/>
        <v>7660</v>
      </c>
      <c r="E196" s="73">
        <v>111</v>
      </c>
      <c r="F196" s="73">
        <f t="shared" si="11"/>
        <v>331</v>
      </c>
      <c r="G196" s="73">
        <f t="shared" si="12"/>
        <v>7329</v>
      </c>
    </row>
    <row r="197" spans="1:7" x14ac:dyDescent="0.2">
      <c r="A197" s="72">
        <v>194</v>
      </c>
      <c r="B197" s="74">
        <v>44113</v>
      </c>
      <c r="C197" s="73">
        <v>17</v>
      </c>
      <c r="D197" s="73">
        <f t="shared" si="10"/>
        <v>7677</v>
      </c>
      <c r="E197" s="73">
        <v>28</v>
      </c>
      <c r="F197" s="73">
        <f t="shared" si="11"/>
        <v>320</v>
      </c>
      <c r="G197" s="73">
        <f t="shared" si="12"/>
        <v>7357</v>
      </c>
    </row>
    <row r="198" spans="1:7" x14ac:dyDescent="0.2">
      <c r="A198" s="72">
        <v>195</v>
      </c>
      <c r="B198" s="74">
        <v>44114</v>
      </c>
      <c r="C198" s="73">
        <v>43</v>
      </c>
      <c r="D198" s="73">
        <f t="shared" si="10"/>
        <v>7720</v>
      </c>
      <c r="E198" s="73">
        <v>103</v>
      </c>
      <c r="F198" s="73">
        <f t="shared" si="11"/>
        <v>260</v>
      </c>
      <c r="G198" s="73">
        <f t="shared" si="12"/>
        <v>7460</v>
      </c>
    </row>
    <row r="199" spans="1:7" x14ac:dyDescent="0.2">
      <c r="A199" s="72">
        <v>196</v>
      </c>
      <c r="B199" s="74">
        <v>44115</v>
      </c>
      <c r="C199" s="73">
        <v>60</v>
      </c>
      <c r="D199" s="73">
        <f t="shared" si="10"/>
        <v>7780</v>
      </c>
      <c r="E199" s="73">
        <v>3</v>
      </c>
      <c r="F199" s="73">
        <f t="shared" si="11"/>
        <v>317</v>
      </c>
      <c r="G199" s="73">
        <f t="shared" si="12"/>
        <v>7463</v>
      </c>
    </row>
    <row r="200" spans="1:7" x14ac:dyDescent="0.2">
      <c r="A200" s="72">
        <v>197</v>
      </c>
      <c r="B200" s="74">
        <v>44116</v>
      </c>
      <c r="C200" s="73">
        <v>104</v>
      </c>
      <c r="D200" s="73">
        <f t="shared" si="10"/>
        <v>7884</v>
      </c>
      <c r="E200" s="73">
        <v>62</v>
      </c>
      <c r="F200" s="73">
        <f t="shared" si="11"/>
        <v>359</v>
      </c>
      <c r="G200" s="73">
        <f t="shared" si="12"/>
        <v>7525</v>
      </c>
    </row>
    <row r="201" spans="1:7" x14ac:dyDescent="0.2">
      <c r="A201" s="72">
        <v>198</v>
      </c>
      <c r="B201" s="74">
        <v>44117</v>
      </c>
      <c r="C201" s="73">
        <v>41</v>
      </c>
      <c r="D201" s="73">
        <f t="shared" si="10"/>
        <v>7925</v>
      </c>
      <c r="E201" s="73">
        <v>82</v>
      </c>
      <c r="F201" s="73">
        <f t="shared" si="11"/>
        <v>318</v>
      </c>
      <c r="G201" s="73">
        <f t="shared" si="12"/>
        <v>7607</v>
      </c>
    </row>
    <row r="202" spans="1:7" x14ac:dyDescent="0.2">
      <c r="A202" s="72">
        <v>199</v>
      </c>
      <c r="B202" s="74">
        <v>44118</v>
      </c>
      <c r="C202" s="73">
        <v>25</v>
      </c>
      <c r="D202" s="73">
        <f t="shared" si="10"/>
        <v>7950</v>
      </c>
      <c r="E202" s="73">
        <v>70</v>
      </c>
      <c r="F202" s="73">
        <f t="shared" si="11"/>
        <v>273</v>
      </c>
      <c r="G202" s="73">
        <f t="shared" si="12"/>
        <v>7677</v>
      </c>
    </row>
    <row r="203" spans="1:7" x14ac:dyDescent="0.2">
      <c r="A203" s="72">
        <v>200</v>
      </c>
      <c r="B203" s="74">
        <v>44119</v>
      </c>
      <c r="C203" s="73">
        <v>36</v>
      </c>
      <c r="D203" s="73">
        <f t="shared" si="10"/>
        <v>7986</v>
      </c>
      <c r="E203" s="73">
        <v>162</v>
      </c>
      <c r="F203" s="73">
        <f t="shared" si="11"/>
        <v>147</v>
      </c>
      <c r="G203" s="73">
        <f t="shared" si="12"/>
        <v>7839</v>
      </c>
    </row>
    <row r="204" spans="1:7" x14ac:dyDescent="0.2">
      <c r="A204" s="72">
        <v>201</v>
      </c>
      <c r="B204" s="74">
        <v>44120</v>
      </c>
      <c r="C204" s="73">
        <v>17</v>
      </c>
      <c r="D204" s="73">
        <f t="shared" si="10"/>
        <v>8003</v>
      </c>
      <c r="E204" s="73">
        <v>106</v>
      </c>
      <c r="F204" s="73">
        <f t="shared" si="11"/>
        <v>58</v>
      </c>
      <c r="G204" s="73">
        <f t="shared" si="12"/>
        <v>7945</v>
      </c>
    </row>
    <row r="205" spans="1:7" x14ac:dyDescent="0.2">
      <c r="A205" s="72">
        <v>202</v>
      </c>
      <c r="B205" s="74">
        <v>44121</v>
      </c>
      <c r="C205" s="73">
        <v>138</v>
      </c>
      <c r="D205" s="73">
        <f t="shared" si="10"/>
        <v>8141</v>
      </c>
      <c r="E205" s="73">
        <v>39</v>
      </c>
      <c r="F205" s="73">
        <f t="shared" si="11"/>
        <v>157</v>
      </c>
      <c r="G205" s="73">
        <f t="shared" si="12"/>
        <v>7984</v>
      </c>
    </row>
    <row r="206" spans="1:7" x14ac:dyDescent="0.2">
      <c r="A206" s="72">
        <v>203</v>
      </c>
      <c r="B206" s="74">
        <v>44122</v>
      </c>
      <c r="C206" s="73">
        <v>23</v>
      </c>
      <c r="D206" s="73">
        <f t="shared" si="10"/>
        <v>8164</v>
      </c>
      <c r="E206" s="73">
        <v>0</v>
      </c>
      <c r="F206" s="73">
        <f t="shared" si="11"/>
        <v>180</v>
      </c>
      <c r="G206" s="73">
        <f t="shared" si="12"/>
        <v>7984</v>
      </c>
    </row>
    <row r="207" spans="1:7" x14ac:dyDescent="0.2">
      <c r="A207" s="72">
        <v>204</v>
      </c>
      <c r="B207" s="74">
        <v>44123</v>
      </c>
      <c r="C207" s="73">
        <v>70</v>
      </c>
      <c r="D207" s="73">
        <f t="shared" si="10"/>
        <v>8234</v>
      </c>
      <c r="E207" s="73">
        <v>101</v>
      </c>
      <c r="F207" s="73">
        <f t="shared" si="11"/>
        <v>149</v>
      </c>
      <c r="G207" s="73">
        <f t="shared" si="12"/>
        <v>8085</v>
      </c>
    </row>
    <row r="208" spans="1:7" x14ac:dyDescent="0.2">
      <c r="A208" s="72">
        <v>205</v>
      </c>
      <c r="B208" s="74">
        <v>44124</v>
      </c>
      <c r="C208" s="73">
        <v>68</v>
      </c>
      <c r="D208" s="73">
        <f t="shared" si="10"/>
        <v>8302</v>
      </c>
      <c r="E208" s="73">
        <v>27</v>
      </c>
      <c r="F208" s="73">
        <f t="shared" si="11"/>
        <v>190</v>
      </c>
      <c r="G208" s="73">
        <f t="shared" si="12"/>
        <v>8112</v>
      </c>
    </row>
    <row r="209" spans="1:7" x14ac:dyDescent="0.2">
      <c r="A209" s="72">
        <v>206</v>
      </c>
      <c r="B209" s="74">
        <v>44125</v>
      </c>
      <c r="C209" s="73">
        <v>88</v>
      </c>
      <c r="D209" s="73">
        <f t="shared" si="10"/>
        <v>8390</v>
      </c>
      <c r="E209" s="73">
        <v>25</v>
      </c>
      <c r="F209" s="73">
        <f t="shared" si="11"/>
        <v>253</v>
      </c>
      <c r="G209" s="73">
        <f t="shared" si="12"/>
        <v>8137</v>
      </c>
    </row>
    <row r="210" spans="1:7" x14ac:dyDescent="0.2">
      <c r="A210" s="72">
        <v>207</v>
      </c>
      <c r="B210" s="74">
        <v>44126</v>
      </c>
      <c r="C210" s="73">
        <v>54</v>
      </c>
      <c r="D210" s="73">
        <f>D209+C210</f>
        <v>8444</v>
      </c>
      <c r="E210" s="73">
        <v>23</v>
      </c>
      <c r="F210" s="73">
        <f>F209+C210-E210</f>
        <v>284</v>
      </c>
      <c r="G210" s="73">
        <f>G209+E210</f>
        <v>8160</v>
      </c>
    </row>
    <row r="211" spans="1:7" x14ac:dyDescent="0.2">
      <c r="A211" s="72">
        <v>208</v>
      </c>
      <c r="B211" s="74">
        <v>44127</v>
      </c>
      <c r="C211" s="73">
        <v>41</v>
      </c>
      <c r="D211" s="73">
        <f t="shared" ref="D211:D274" si="13">D210+C211</f>
        <v>8485</v>
      </c>
      <c r="E211" s="73">
        <v>17</v>
      </c>
      <c r="F211" s="73">
        <f t="shared" ref="F211:F274" si="14">F210+C211-E211</f>
        <v>308</v>
      </c>
      <c r="G211" s="73">
        <f t="shared" ref="G211:G274" si="15">G210+E211</f>
        <v>8177</v>
      </c>
    </row>
    <row r="212" spans="1:7" x14ac:dyDescent="0.2">
      <c r="A212" s="72">
        <v>209</v>
      </c>
      <c r="B212" s="74">
        <v>44128</v>
      </c>
      <c r="C212" s="73">
        <v>21</v>
      </c>
      <c r="D212" s="73">
        <f t="shared" si="13"/>
        <v>8506</v>
      </c>
      <c r="E212" s="73">
        <v>65</v>
      </c>
      <c r="F212" s="73">
        <f t="shared" si="14"/>
        <v>264</v>
      </c>
      <c r="G212" s="73">
        <f t="shared" si="15"/>
        <v>8242</v>
      </c>
    </row>
    <row r="213" spans="1:7" x14ac:dyDescent="0.2">
      <c r="A213" s="72">
        <v>210</v>
      </c>
      <c r="B213" s="74">
        <v>44129</v>
      </c>
      <c r="C213" s="73">
        <v>12</v>
      </c>
      <c r="D213" s="73">
        <f t="shared" si="13"/>
        <v>8518</v>
      </c>
      <c r="E213" s="73">
        <v>56</v>
      </c>
      <c r="F213" s="73">
        <f t="shared" si="14"/>
        <v>220</v>
      </c>
      <c r="G213" s="73">
        <f t="shared" si="15"/>
        <v>8298</v>
      </c>
    </row>
    <row r="214" spans="1:7" x14ac:dyDescent="0.2">
      <c r="A214" s="72">
        <v>211</v>
      </c>
      <c r="B214" s="74">
        <v>44130</v>
      </c>
      <c r="C214" s="73">
        <v>150</v>
      </c>
      <c r="D214" s="73">
        <f t="shared" si="13"/>
        <v>8668</v>
      </c>
      <c r="E214" s="73">
        <v>103</v>
      </c>
      <c r="F214" s="73">
        <f t="shared" si="14"/>
        <v>267</v>
      </c>
      <c r="G214" s="73">
        <f t="shared" si="15"/>
        <v>8401</v>
      </c>
    </row>
    <row r="215" spans="1:7" x14ac:dyDescent="0.2">
      <c r="A215" s="72">
        <v>212</v>
      </c>
      <c r="B215" s="74">
        <v>44131</v>
      </c>
      <c r="C215" s="73">
        <v>84</v>
      </c>
      <c r="D215" s="73">
        <f t="shared" si="13"/>
        <v>8752</v>
      </c>
      <c r="E215" s="73">
        <v>24</v>
      </c>
      <c r="F215" s="73">
        <f t="shared" si="14"/>
        <v>327</v>
      </c>
      <c r="G215" s="73">
        <f t="shared" si="15"/>
        <v>8425</v>
      </c>
    </row>
    <row r="216" spans="1:7" x14ac:dyDescent="0.2">
      <c r="A216" s="72">
        <v>213</v>
      </c>
      <c r="B216" s="74">
        <v>44132</v>
      </c>
      <c r="C216" s="73">
        <v>30</v>
      </c>
      <c r="D216" s="73">
        <f t="shared" si="13"/>
        <v>8782</v>
      </c>
      <c r="E216" s="73">
        <v>26</v>
      </c>
      <c r="F216" s="73">
        <f t="shared" si="14"/>
        <v>331</v>
      </c>
      <c r="G216" s="73">
        <f t="shared" si="15"/>
        <v>8451</v>
      </c>
    </row>
    <row r="217" spans="1:7" x14ac:dyDescent="0.2">
      <c r="A217" s="72">
        <v>214</v>
      </c>
      <c r="B217" s="74">
        <v>44133</v>
      </c>
      <c r="C217" s="73">
        <v>51</v>
      </c>
      <c r="D217" s="73">
        <f t="shared" si="13"/>
        <v>8833</v>
      </c>
      <c r="E217" s="73">
        <v>67</v>
      </c>
      <c r="F217" s="73">
        <f t="shared" si="14"/>
        <v>315</v>
      </c>
      <c r="G217" s="73">
        <f t="shared" si="15"/>
        <v>8518</v>
      </c>
    </row>
    <row r="218" spans="1:7" x14ac:dyDescent="0.2">
      <c r="A218" s="72">
        <v>215</v>
      </c>
      <c r="B218" s="74">
        <v>44134</v>
      </c>
      <c r="C218" s="73">
        <v>85</v>
      </c>
      <c r="D218" s="73">
        <f t="shared" si="13"/>
        <v>8918</v>
      </c>
      <c r="E218" s="73">
        <v>347</v>
      </c>
      <c r="F218" s="73">
        <f t="shared" si="14"/>
        <v>53</v>
      </c>
      <c r="G218" s="73">
        <f t="shared" si="15"/>
        <v>8865</v>
      </c>
    </row>
    <row r="219" spans="1:7" x14ac:dyDescent="0.2">
      <c r="A219" s="72">
        <v>216</v>
      </c>
      <c r="B219" s="74">
        <v>44135</v>
      </c>
      <c r="C219" s="73">
        <v>172</v>
      </c>
      <c r="D219" s="73">
        <f t="shared" si="13"/>
        <v>9090</v>
      </c>
      <c r="E219" s="73">
        <v>98</v>
      </c>
      <c r="F219" s="73">
        <f t="shared" si="14"/>
        <v>127</v>
      </c>
      <c r="G219" s="73">
        <f t="shared" si="15"/>
        <v>8963</v>
      </c>
    </row>
    <row r="220" spans="1:7" x14ac:dyDescent="0.2">
      <c r="A220" s="72">
        <v>217</v>
      </c>
      <c r="B220" s="74">
        <v>44136</v>
      </c>
      <c r="C220" s="73">
        <v>38</v>
      </c>
      <c r="D220" s="73">
        <f t="shared" si="13"/>
        <v>9128</v>
      </c>
      <c r="E220" s="73">
        <v>8</v>
      </c>
      <c r="F220" s="73">
        <f t="shared" si="14"/>
        <v>157</v>
      </c>
      <c r="G220" s="73">
        <f t="shared" si="15"/>
        <v>8971</v>
      </c>
    </row>
    <row r="221" spans="1:7" x14ac:dyDescent="0.2">
      <c r="A221" s="72">
        <v>218</v>
      </c>
      <c r="B221" s="74">
        <v>44137</v>
      </c>
      <c r="C221" s="73">
        <v>40</v>
      </c>
      <c r="D221" s="73">
        <f t="shared" si="13"/>
        <v>9168</v>
      </c>
      <c r="E221" s="73">
        <v>78</v>
      </c>
      <c r="F221" s="73">
        <f t="shared" si="14"/>
        <v>119</v>
      </c>
      <c r="G221" s="73">
        <f t="shared" si="15"/>
        <v>9049</v>
      </c>
    </row>
    <row r="222" spans="1:7" x14ac:dyDescent="0.2">
      <c r="A222" s="72">
        <v>219</v>
      </c>
      <c r="B222" s="74">
        <v>44138</v>
      </c>
      <c r="C222" s="73">
        <v>97</v>
      </c>
      <c r="D222" s="73">
        <f t="shared" si="13"/>
        <v>9265</v>
      </c>
      <c r="E222" s="73">
        <v>169</v>
      </c>
      <c r="F222" s="73">
        <f t="shared" si="14"/>
        <v>47</v>
      </c>
      <c r="G222" s="73">
        <f t="shared" si="15"/>
        <v>9218</v>
      </c>
    </row>
    <row r="223" spans="1:7" x14ac:dyDescent="0.2">
      <c r="A223" s="72">
        <v>220</v>
      </c>
      <c r="B223" s="74">
        <v>44139</v>
      </c>
      <c r="C223" s="73">
        <v>189</v>
      </c>
      <c r="D223" s="73">
        <f t="shared" si="13"/>
        <v>9454</v>
      </c>
      <c r="E223" s="73">
        <v>80</v>
      </c>
      <c r="F223" s="73">
        <f t="shared" si="14"/>
        <v>156</v>
      </c>
      <c r="G223" s="73">
        <f t="shared" si="15"/>
        <v>9298</v>
      </c>
    </row>
    <row r="224" spans="1:7" x14ac:dyDescent="0.2">
      <c r="A224" s="72">
        <v>221</v>
      </c>
      <c r="B224" s="74">
        <v>44140</v>
      </c>
      <c r="C224" s="73">
        <v>14</v>
      </c>
      <c r="D224" s="73">
        <f t="shared" si="13"/>
        <v>9468</v>
      </c>
      <c r="E224" s="73">
        <v>54</v>
      </c>
      <c r="F224" s="73">
        <f t="shared" si="14"/>
        <v>116</v>
      </c>
      <c r="G224" s="73">
        <f t="shared" si="15"/>
        <v>9352</v>
      </c>
    </row>
    <row r="225" spans="1:7" x14ac:dyDescent="0.2">
      <c r="A225" s="72">
        <v>222</v>
      </c>
      <c r="B225" s="74">
        <v>44141</v>
      </c>
      <c r="C225" s="73">
        <v>133</v>
      </c>
      <c r="D225" s="73">
        <f t="shared" si="13"/>
        <v>9601</v>
      </c>
      <c r="E225" s="73">
        <v>37</v>
      </c>
      <c r="F225" s="73">
        <f t="shared" si="14"/>
        <v>212</v>
      </c>
      <c r="G225" s="73">
        <f t="shared" si="15"/>
        <v>9389</v>
      </c>
    </row>
    <row r="226" spans="1:7" x14ac:dyDescent="0.2">
      <c r="A226" s="72">
        <v>223</v>
      </c>
      <c r="B226" s="74">
        <v>44142</v>
      </c>
      <c r="C226" s="73">
        <v>53</v>
      </c>
      <c r="D226" s="73">
        <f t="shared" si="13"/>
        <v>9654</v>
      </c>
      <c r="E226" s="73">
        <v>29</v>
      </c>
      <c r="F226" s="73">
        <f t="shared" si="14"/>
        <v>236</v>
      </c>
      <c r="G226" s="73">
        <f t="shared" si="15"/>
        <v>9418</v>
      </c>
    </row>
    <row r="227" spans="1:7" x14ac:dyDescent="0.2">
      <c r="A227" s="72">
        <v>224</v>
      </c>
      <c r="B227" s="74">
        <v>44143</v>
      </c>
      <c r="C227" s="73">
        <v>0</v>
      </c>
      <c r="D227" s="73">
        <f t="shared" si="13"/>
        <v>9654</v>
      </c>
      <c r="E227" s="73">
        <v>1</v>
      </c>
      <c r="F227" s="73">
        <f t="shared" si="14"/>
        <v>235</v>
      </c>
      <c r="G227" s="73">
        <f t="shared" si="15"/>
        <v>9419</v>
      </c>
    </row>
    <row r="228" spans="1:7" x14ac:dyDescent="0.2">
      <c r="A228" s="72">
        <v>225</v>
      </c>
      <c r="B228" s="74">
        <v>44144</v>
      </c>
      <c r="C228" s="73">
        <v>29</v>
      </c>
      <c r="D228" s="73">
        <f t="shared" si="13"/>
        <v>9683</v>
      </c>
      <c r="E228" s="73">
        <v>191</v>
      </c>
      <c r="F228" s="73">
        <f t="shared" si="14"/>
        <v>73</v>
      </c>
      <c r="G228" s="73">
        <f t="shared" si="15"/>
        <v>9610</v>
      </c>
    </row>
    <row r="229" spans="1:7" x14ac:dyDescent="0.2">
      <c r="A229" s="72">
        <v>226</v>
      </c>
      <c r="B229" s="74">
        <v>44145</v>
      </c>
      <c r="C229" s="73">
        <v>81</v>
      </c>
      <c r="D229" s="73">
        <f t="shared" si="13"/>
        <v>9764</v>
      </c>
      <c r="E229" s="73">
        <v>46</v>
      </c>
      <c r="F229" s="73">
        <f t="shared" si="14"/>
        <v>108</v>
      </c>
      <c r="G229" s="73">
        <f t="shared" si="15"/>
        <v>9656</v>
      </c>
    </row>
    <row r="230" spans="1:7" x14ac:dyDescent="0.2">
      <c r="A230" s="72">
        <v>227</v>
      </c>
      <c r="B230" s="74">
        <v>44146</v>
      </c>
      <c r="C230" s="73">
        <v>86</v>
      </c>
      <c r="D230" s="73">
        <f t="shared" si="13"/>
        <v>9850</v>
      </c>
      <c r="E230" s="73">
        <v>26</v>
      </c>
      <c r="F230" s="73">
        <f t="shared" si="14"/>
        <v>168</v>
      </c>
      <c r="G230" s="73">
        <f t="shared" si="15"/>
        <v>9682</v>
      </c>
    </row>
    <row r="231" spans="1:7" x14ac:dyDescent="0.2">
      <c r="A231" s="72">
        <v>228</v>
      </c>
      <c r="B231" s="74">
        <v>44147</v>
      </c>
      <c r="C231" s="73">
        <v>34</v>
      </c>
      <c r="D231" s="73">
        <f t="shared" si="13"/>
        <v>9884</v>
      </c>
      <c r="E231" s="73">
        <v>129</v>
      </c>
      <c r="F231" s="73">
        <f t="shared" si="14"/>
        <v>73</v>
      </c>
      <c r="G231" s="73">
        <f t="shared" si="15"/>
        <v>9811</v>
      </c>
    </row>
    <row r="232" spans="1:7" x14ac:dyDescent="0.2">
      <c r="A232" s="72">
        <v>229</v>
      </c>
      <c r="B232" s="74">
        <v>44148</v>
      </c>
      <c r="C232" s="73">
        <v>7</v>
      </c>
      <c r="D232" s="73">
        <f t="shared" si="13"/>
        <v>9891</v>
      </c>
      <c r="E232" s="73">
        <v>80</v>
      </c>
      <c r="F232" s="73">
        <f t="shared" si="14"/>
        <v>0</v>
      </c>
      <c r="G232" s="73">
        <f t="shared" si="15"/>
        <v>9891</v>
      </c>
    </row>
    <row r="233" spans="1:7" x14ac:dyDescent="0.2">
      <c r="A233" s="72">
        <v>230</v>
      </c>
      <c r="B233" s="74">
        <v>44149</v>
      </c>
      <c r="C233" s="73">
        <v>55</v>
      </c>
      <c r="D233" s="73">
        <f t="shared" si="13"/>
        <v>9946</v>
      </c>
      <c r="E233" s="73">
        <v>50</v>
      </c>
      <c r="F233" s="73">
        <f t="shared" si="14"/>
        <v>5</v>
      </c>
      <c r="G233" s="73">
        <f t="shared" si="15"/>
        <v>9941</v>
      </c>
    </row>
    <row r="234" spans="1:7" x14ac:dyDescent="0.2">
      <c r="A234" s="72">
        <v>231</v>
      </c>
      <c r="B234" s="74">
        <v>44150</v>
      </c>
      <c r="C234" s="73">
        <v>21</v>
      </c>
      <c r="D234" s="73">
        <f t="shared" si="13"/>
        <v>9967</v>
      </c>
      <c r="E234" s="73">
        <v>20</v>
      </c>
      <c r="F234" s="73">
        <f t="shared" si="14"/>
        <v>6</v>
      </c>
      <c r="G234" s="73">
        <f t="shared" si="15"/>
        <v>9961</v>
      </c>
    </row>
    <row r="235" spans="1:7" x14ac:dyDescent="0.2">
      <c r="A235" s="72">
        <v>232</v>
      </c>
      <c r="B235" s="74">
        <v>44151</v>
      </c>
      <c r="C235" s="73">
        <v>131</v>
      </c>
      <c r="D235" s="73">
        <f t="shared" si="13"/>
        <v>10098</v>
      </c>
      <c r="E235" s="73">
        <v>108</v>
      </c>
      <c r="F235" s="73">
        <f t="shared" si="14"/>
        <v>29</v>
      </c>
      <c r="G235" s="73">
        <f t="shared" si="15"/>
        <v>10069</v>
      </c>
    </row>
    <row r="236" spans="1:7" x14ac:dyDescent="0.2">
      <c r="A236" s="72">
        <v>233</v>
      </c>
      <c r="B236" s="74">
        <v>44152</v>
      </c>
      <c r="C236" s="73">
        <v>52</v>
      </c>
      <c r="D236" s="73">
        <f t="shared" si="13"/>
        <v>10150</v>
      </c>
      <c r="E236" s="73">
        <v>50</v>
      </c>
      <c r="F236" s="73">
        <f t="shared" si="14"/>
        <v>31</v>
      </c>
      <c r="G236" s="73">
        <f t="shared" si="15"/>
        <v>10119</v>
      </c>
    </row>
    <row r="237" spans="1:7" x14ac:dyDescent="0.2">
      <c r="A237" s="72">
        <v>234</v>
      </c>
      <c r="B237" s="74">
        <v>44153</v>
      </c>
      <c r="C237" s="73">
        <v>101</v>
      </c>
      <c r="D237" s="73">
        <f t="shared" si="13"/>
        <v>10251</v>
      </c>
      <c r="E237" s="73">
        <v>92</v>
      </c>
      <c r="F237" s="73">
        <f t="shared" si="14"/>
        <v>40</v>
      </c>
      <c r="G237" s="73">
        <f t="shared" si="15"/>
        <v>10211</v>
      </c>
    </row>
    <row r="238" spans="1:7" x14ac:dyDescent="0.2">
      <c r="A238" s="72">
        <v>235</v>
      </c>
      <c r="B238" s="74">
        <v>44154</v>
      </c>
      <c r="C238" s="73">
        <v>161</v>
      </c>
      <c r="D238" s="73">
        <f t="shared" si="13"/>
        <v>10412</v>
      </c>
      <c r="E238" s="73">
        <v>61</v>
      </c>
      <c r="F238" s="73">
        <f t="shared" si="14"/>
        <v>140</v>
      </c>
      <c r="G238" s="73">
        <f t="shared" si="15"/>
        <v>10272</v>
      </c>
    </row>
    <row r="239" spans="1:7" x14ac:dyDescent="0.2">
      <c r="A239" s="72">
        <v>236</v>
      </c>
      <c r="B239" s="74">
        <v>44155</v>
      </c>
      <c r="C239" s="73">
        <v>325</v>
      </c>
      <c r="D239" s="73">
        <f t="shared" si="13"/>
        <v>10737</v>
      </c>
      <c r="E239" s="73">
        <v>82</v>
      </c>
      <c r="F239" s="73">
        <f t="shared" si="14"/>
        <v>383</v>
      </c>
      <c r="G239" s="73">
        <f t="shared" si="15"/>
        <v>10354</v>
      </c>
    </row>
    <row r="240" spans="1:7" x14ac:dyDescent="0.2">
      <c r="A240" s="72">
        <v>237</v>
      </c>
      <c r="B240" s="74">
        <v>44156</v>
      </c>
      <c r="C240" s="73">
        <v>192</v>
      </c>
      <c r="D240" s="73">
        <f t="shared" si="13"/>
        <v>10929</v>
      </c>
      <c r="E240" s="73">
        <v>51</v>
      </c>
      <c r="F240" s="73">
        <f t="shared" si="14"/>
        <v>524</v>
      </c>
      <c r="G240" s="73">
        <f t="shared" si="15"/>
        <v>10405</v>
      </c>
    </row>
    <row r="241" spans="1:7" x14ac:dyDescent="0.2">
      <c r="A241" s="72">
        <v>238</v>
      </c>
      <c r="B241" s="74">
        <v>44157</v>
      </c>
      <c r="C241" s="73">
        <v>74</v>
      </c>
      <c r="D241" s="73">
        <f t="shared" si="13"/>
        <v>11003</v>
      </c>
      <c r="E241" s="73">
        <v>2</v>
      </c>
      <c r="F241" s="73">
        <f t="shared" si="14"/>
        <v>596</v>
      </c>
      <c r="G241" s="73">
        <f t="shared" si="15"/>
        <v>10407</v>
      </c>
    </row>
    <row r="242" spans="1:7" x14ac:dyDescent="0.2">
      <c r="A242" s="72">
        <v>239</v>
      </c>
      <c r="B242" s="74">
        <v>44158</v>
      </c>
      <c r="C242" s="73">
        <v>231</v>
      </c>
      <c r="D242" s="73">
        <f t="shared" si="13"/>
        <v>11234</v>
      </c>
      <c r="E242" s="73">
        <v>28</v>
      </c>
      <c r="F242" s="73">
        <f t="shared" si="14"/>
        <v>799</v>
      </c>
      <c r="G242" s="73">
        <f t="shared" si="15"/>
        <v>10435</v>
      </c>
    </row>
    <row r="243" spans="1:7" x14ac:dyDescent="0.2">
      <c r="A243" s="72">
        <v>240</v>
      </c>
      <c r="B243" s="74">
        <v>44159</v>
      </c>
      <c r="C243" s="73">
        <v>29</v>
      </c>
      <c r="D243" s="73">
        <f t="shared" si="13"/>
        <v>11263</v>
      </c>
      <c r="E243" s="73">
        <v>143</v>
      </c>
      <c r="F243" s="73">
        <f t="shared" si="14"/>
        <v>685</v>
      </c>
      <c r="G243" s="73">
        <f t="shared" si="15"/>
        <v>10578</v>
      </c>
    </row>
    <row r="244" spans="1:7" x14ac:dyDescent="0.2">
      <c r="A244" s="72">
        <v>241</v>
      </c>
      <c r="B244" s="74">
        <v>44160</v>
      </c>
      <c r="C244" s="73">
        <v>187</v>
      </c>
      <c r="D244" s="73">
        <f t="shared" si="13"/>
        <v>11450</v>
      </c>
      <c r="E244" s="73">
        <v>30</v>
      </c>
      <c r="F244" s="73">
        <f t="shared" si="14"/>
        <v>842</v>
      </c>
      <c r="G244" s="73">
        <f t="shared" si="15"/>
        <v>10608</v>
      </c>
    </row>
    <row r="245" spans="1:7" x14ac:dyDescent="0.2">
      <c r="A245" s="72">
        <v>242</v>
      </c>
      <c r="B245" s="74">
        <v>44161</v>
      </c>
      <c r="C245" s="73">
        <v>116</v>
      </c>
      <c r="D245" s="73">
        <f t="shared" si="13"/>
        <v>11566</v>
      </c>
      <c r="E245" s="73">
        <v>28</v>
      </c>
      <c r="F245" s="73">
        <f t="shared" si="14"/>
        <v>930</v>
      </c>
      <c r="G245" s="73">
        <f t="shared" si="15"/>
        <v>10636</v>
      </c>
    </row>
    <row r="246" spans="1:7" x14ac:dyDescent="0.2">
      <c r="A246" s="72">
        <v>243</v>
      </c>
      <c r="B246" s="74">
        <v>44162</v>
      </c>
      <c r="C246" s="73">
        <v>88</v>
      </c>
      <c r="D246" s="73">
        <f t="shared" si="13"/>
        <v>11654</v>
      </c>
      <c r="E246" s="73">
        <v>14</v>
      </c>
      <c r="F246" s="73">
        <f t="shared" si="14"/>
        <v>1004</v>
      </c>
      <c r="G246" s="73">
        <f t="shared" si="15"/>
        <v>10650</v>
      </c>
    </row>
    <row r="247" spans="1:7" x14ac:dyDescent="0.2">
      <c r="A247" s="72">
        <v>244</v>
      </c>
      <c r="B247" s="74">
        <v>44163</v>
      </c>
      <c r="C247" s="73">
        <v>245</v>
      </c>
      <c r="D247" s="73">
        <f t="shared" si="13"/>
        <v>11899</v>
      </c>
      <c r="E247" s="73">
        <v>68</v>
      </c>
      <c r="F247" s="73">
        <f t="shared" si="14"/>
        <v>1181</v>
      </c>
      <c r="G247" s="73">
        <f t="shared" si="15"/>
        <v>10718</v>
      </c>
    </row>
    <row r="248" spans="1:7" x14ac:dyDescent="0.2">
      <c r="A248" s="72">
        <v>245</v>
      </c>
      <c r="B248" s="74">
        <v>44164</v>
      </c>
      <c r="C248" s="73">
        <v>31</v>
      </c>
      <c r="D248" s="73">
        <f t="shared" si="13"/>
        <v>11930</v>
      </c>
      <c r="E248" s="73">
        <v>0</v>
      </c>
      <c r="F248" s="73">
        <f t="shared" si="14"/>
        <v>1212</v>
      </c>
      <c r="G248" s="73">
        <f t="shared" si="15"/>
        <v>10718</v>
      </c>
    </row>
    <row r="249" spans="1:7" x14ac:dyDescent="0.2">
      <c r="A249" s="72">
        <v>246</v>
      </c>
      <c r="B249" s="74">
        <v>44165</v>
      </c>
      <c r="C249" s="73">
        <v>168</v>
      </c>
      <c r="D249" s="73">
        <f t="shared" si="13"/>
        <v>12098</v>
      </c>
      <c r="E249" s="73">
        <v>146</v>
      </c>
      <c r="F249" s="73">
        <f t="shared" si="14"/>
        <v>1234</v>
      </c>
      <c r="G249" s="73">
        <f t="shared" si="15"/>
        <v>10864</v>
      </c>
    </row>
    <row r="250" spans="1:7" x14ac:dyDescent="0.2">
      <c r="A250" s="72">
        <v>247</v>
      </c>
      <c r="B250" s="74">
        <v>44166</v>
      </c>
      <c r="C250" s="73">
        <v>229</v>
      </c>
      <c r="D250" s="73">
        <f t="shared" si="13"/>
        <v>12327</v>
      </c>
      <c r="E250" s="73">
        <v>47</v>
      </c>
      <c r="F250" s="73">
        <f t="shared" si="14"/>
        <v>1416</v>
      </c>
      <c r="G250" s="73">
        <f t="shared" si="15"/>
        <v>10911</v>
      </c>
    </row>
    <row r="251" spans="1:7" x14ac:dyDescent="0.2">
      <c r="A251" s="72">
        <v>248</v>
      </c>
      <c r="B251" s="74">
        <v>44167</v>
      </c>
      <c r="C251" s="73">
        <v>248</v>
      </c>
      <c r="D251" s="73">
        <f t="shared" si="13"/>
        <v>12575</v>
      </c>
      <c r="E251" s="73">
        <v>124</v>
      </c>
      <c r="F251" s="73">
        <f t="shared" si="14"/>
        <v>1540</v>
      </c>
      <c r="G251" s="73">
        <f t="shared" si="15"/>
        <v>11035</v>
      </c>
    </row>
    <row r="252" spans="1:7" x14ac:dyDescent="0.2">
      <c r="A252" s="72">
        <v>249</v>
      </c>
      <c r="B252" s="74">
        <v>44168</v>
      </c>
      <c r="C252" s="73">
        <v>292</v>
      </c>
      <c r="D252" s="73">
        <f t="shared" si="13"/>
        <v>12867</v>
      </c>
      <c r="E252" s="73">
        <v>200</v>
      </c>
      <c r="F252" s="73">
        <f t="shared" si="14"/>
        <v>1632</v>
      </c>
      <c r="G252" s="73">
        <f t="shared" si="15"/>
        <v>11235</v>
      </c>
    </row>
    <row r="253" spans="1:7" x14ac:dyDescent="0.2">
      <c r="A253" s="72">
        <v>250</v>
      </c>
      <c r="B253" s="74">
        <v>44169</v>
      </c>
      <c r="C253" s="73">
        <v>279</v>
      </c>
      <c r="D253" s="73">
        <f t="shared" si="13"/>
        <v>13146</v>
      </c>
      <c r="E253" s="73">
        <v>263</v>
      </c>
      <c r="F253" s="73">
        <f t="shared" si="14"/>
        <v>1648</v>
      </c>
      <c r="G253" s="73">
        <f t="shared" si="15"/>
        <v>11498</v>
      </c>
    </row>
    <row r="254" spans="1:7" x14ac:dyDescent="0.2">
      <c r="A254" s="72">
        <v>251</v>
      </c>
      <c r="B254" s="74">
        <v>44170</v>
      </c>
      <c r="C254" s="73">
        <v>336</v>
      </c>
      <c r="D254" s="73">
        <f t="shared" si="13"/>
        <v>13482</v>
      </c>
      <c r="E254" s="73">
        <v>206</v>
      </c>
      <c r="F254" s="73">
        <f t="shared" si="14"/>
        <v>1778</v>
      </c>
      <c r="G254" s="73">
        <f t="shared" si="15"/>
        <v>11704</v>
      </c>
    </row>
    <row r="255" spans="1:7" x14ac:dyDescent="0.2">
      <c r="A255" s="72">
        <v>252</v>
      </c>
      <c r="B255" s="74">
        <v>44171</v>
      </c>
      <c r="C255" s="73">
        <v>63</v>
      </c>
      <c r="D255" s="73">
        <f t="shared" si="13"/>
        <v>13545</v>
      </c>
      <c r="E255" s="73">
        <v>191</v>
      </c>
      <c r="F255" s="73">
        <f t="shared" si="14"/>
        <v>1650</v>
      </c>
      <c r="G255" s="73">
        <f t="shared" si="15"/>
        <v>11895</v>
      </c>
    </row>
    <row r="256" spans="1:7" x14ac:dyDescent="0.2">
      <c r="A256" s="72">
        <v>253</v>
      </c>
      <c r="B256" s="74">
        <v>44172</v>
      </c>
      <c r="C256" s="73">
        <v>95</v>
      </c>
      <c r="D256" s="73">
        <f t="shared" si="13"/>
        <v>13640</v>
      </c>
      <c r="E256" s="73">
        <v>247</v>
      </c>
      <c r="F256" s="73">
        <f t="shared" si="14"/>
        <v>1498</v>
      </c>
      <c r="G256" s="73">
        <f t="shared" si="15"/>
        <v>12142</v>
      </c>
    </row>
    <row r="257" spans="1:7" x14ac:dyDescent="0.2">
      <c r="A257" s="72">
        <v>254</v>
      </c>
      <c r="B257" s="74">
        <v>44173</v>
      </c>
      <c r="C257" s="73">
        <v>62</v>
      </c>
      <c r="D257" s="73">
        <f t="shared" si="13"/>
        <v>13702</v>
      </c>
      <c r="E257" s="73">
        <v>432</v>
      </c>
      <c r="F257" s="73">
        <f t="shared" si="14"/>
        <v>1128</v>
      </c>
      <c r="G257" s="73">
        <f t="shared" si="15"/>
        <v>12574</v>
      </c>
    </row>
    <row r="258" spans="1:7" x14ac:dyDescent="0.2">
      <c r="A258" s="72">
        <v>255</v>
      </c>
      <c r="B258" s="74">
        <v>44174</v>
      </c>
      <c r="C258" s="73">
        <v>21</v>
      </c>
      <c r="D258" s="73">
        <f t="shared" si="13"/>
        <v>13723</v>
      </c>
      <c r="E258" s="73">
        <v>127</v>
      </c>
      <c r="F258" s="73">
        <f t="shared" si="14"/>
        <v>1022</v>
      </c>
      <c r="G258" s="73">
        <f t="shared" si="15"/>
        <v>12701</v>
      </c>
    </row>
    <row r="259" spans="1:7" x14ac:dyDescent="0.2">
      <c r="A259" s="72">
        <v>256</v>
      </c>
      <c r="B259" s="74">
        <v>44175</v>
      </c>
      <c r="C259" s="73">
        <v>119</v>
      </c>
      <c r="D259" s="73">
        <f t="shared" si="13"/>
        <v>13842</v>
      </c>
      <c r="E259" s="73">
        <v>121</v>
      </c>
      <c r="F259" s="73">
        <f t="shared" si="14"/>
        <v>1020</v>
      </c>
      <c r="G259" s="73">
        <f t="shared" si="15"/>
        <v>12822</v>
      </c>
    </row>
    <row r="260" spans="1:7" x14ac:dyDescent="0.2">
      <c r="A260" s="72">
        <v>257</v>
      </c>
      <c r="B260" s="74">
        <v>44176</v>
      </c>
      <c r="C260" s="73">
        <v>159</v>
      </c>
      <c r="D260" s="73">
        <f t="shared" si="13"/>
        <v>14001</v>
      </c>
      <c r="E260" s="73">
        <v>213</v>
      </c>
      <c r="F260" s="73">
        <f t="shared" si="14"/>
        <v>966</v>
      </c>
      <c r="G260" s="73">
        <f t="shared" si="15"/>
        <v>13035</v>
      </c>
    </row>
    <row r="261" spans="1:7" x14ac:dyDescent="0.2">
      <c r="A261" s="72">
        <v>258</v>
      </c>
      <c r="B261" s="74">
        <v>44177</v>
      </c>
      <c r="C261" s="73">
        <v>65</v>
      </c>
      <c r="D261" s="73">
        <f t="shared" si="13"/>
        <v>14066</v>
      </c>
      <c r="E261" s="73">
        <v>146</v>
      </c>
      <c r="F261" s="73">
        <f t="shared" si="14"/>
        <v>885</v>
      </c>
      <c r="G261" s="73">
        <f t="shared" si="15"/>
        <v>13181</v>
      </c>
    </row>
    <row r="262" spans="1:7" x14ac:dyDescent="0.2">
      <c r="A262" s="72">
        <v>259</v>
      </c>
      <c r="B262" s="74">
        <v>44178</v>
      </c>
      <c r="C262" s="73">
        <v>16</v>
      </c>
      <c r="D262" s="73">
        <f t="shared" si="13"/>
        <v>14082</v>
      </c>
      <c r="E262" s="73">
        <v>49</v>
      </c>
      <c r="F262" s="73">
        <f t="shared" si="14"/>
        <v>852</v>
      </c>
      <c r="G262" s="73">
        <f t="shared" si="15"/>
        <v>13230</v>
      </c>
    </row>
    <row r="263" spans="1:7" x14ac:dyDescent="0.2">
      <c r="A263" s="72">
        <v>260</v>
      </c>
      <c r="B263" s="74">
        <v>44179</v>
      </c>
      <c r="C263" s="73">
        <v>117</v>
      </c>
      <c r="D263" s="73">
        <f t="shared" si="13"/>
        <v>14199</v>
      </c>
      <c r="E263" s="73">
        <v>147</v>
      </c>
      <c r="F263" s="73">
        <f t="shared" si="14"/>
        <v>822</v>
      </c>
      <c r="G263" s="73">
        <f t="shared" si="15"/>
        <v>13377</v>
      </c>
    </row>
    <row r="264" spans="1:7" x14ac:dyDescent="0.2">
      <c r="A264" s="72">
        <v>261</v>
      </c>
      <c r="B264" s="74">
        <v>44180</v>
      </c>
      <c r="C264" s="73">
        <v>262</v>
      </c>
      <c r="D264" s="73">
        <f t="shared" si="13"/>
        <v>14461</v>
      </c>
      <c r="E264" s="73">
        <v>292</v>
      </c>
      <c r="F264" s="73">
        <f t="shared" si="14"/>
        <v>792</v>
      </c>
      <c r="G264" s="73">
        <f t="shared" si="15"/>
        <v>13669</v>
      </c>
    </row>
    <row r="265" spans="1:7" x14ac:dyDescent="0.2">
      <c r="A265" s="72">
        <v>262</v>
      </c>
      <c r="B265" s="74">
        <v>44181</v>
      </c>
      <c r="C265" s="73">
        <v>226</v>
      </c>
      <c r="D265" s="73">
        <f t="shared" si="13"/>
        <v>14687</v>
      </c>
      <c r="E265" s="73">
        <v>261</v>
      </c>
      <c r="F265" s="73">
        <f t="shared" si="14"/>
        <v>757</v>
      </c>
      <c r="G265" s="73">
        <f t="shared" si="15"/>
        <v>13930</v>
      </c>
    </row>
    <row r="266" spans="1:7" x14ac:dyDescent="0.2">
      <c r="A266" s="72">
        <v>263</v>
      </c>
      <c r="B266" s="74">
        <v>44182</v>
      </c>
      <c r="C266" s="73">
        <v>150</v>
      </c>
      <c r="D266" s="73">
        <f t="shared" si="13"/>
        <v>14837</v>
      </c>
      <c r="E266" s="73">
        <v>235</v>
      </c>
      <c r="F266" s="73">
        <f t="shared" si="14"/>
        <v>672</v>
      </c>
      <c r="G266" s="73">
        <f t="shared" si="15"/>
        <v>14165</v>
      </c>
    </row>
    <row r="267" spans="1:7" x14ac:dyDescent="0.2">
      <c r="A267" s="72">
        <v>264</v>
      </c>
      <c r="B267" s="74">
        <v>44183</v>
      </c>
      <c r="C267" s="73">
        <v>263</v>
      </c>
      <c r="D267" s="73">
        <f t="shared" si="13"/>
        <v>15100</v>
      </c>
      <c r="E267" s="73">
        <v>285</v>
      </c>
      <c r="F267" s="73">
        <f t="shared" si="14"/>
        <v>650</v>
      </c>
      <c r="G267" s="73">
        <f t="shared" si="15"/>
        <v>14450</v>
      </c>
    </row>
    <row r="268" spans="1:7" x14ac:dyDescent="0.2">
      <c r="A268" s="72">
        <v>265</v>
      </c>
      <c r="B268" s="74">
        <v>44184</v>
      </c>
      <c r="C268" s="73">
        <v>104</v>
      </c>
      <c r="D268" s="73">
        <f t="shared" si="13"/>
        <v>15204</v>
      </c>
      <c r="E268" s="73">
        <v>296</v>
      </c>
      <c r="F268" s="73">
        <f t="shared" si="14"/>
        <v>458</v>
      </c>
      <c r="G268" s="73">
        <f t="shared" si="15"/>
        <v>14746</v>
      </c>
    </row>
    <row r="269" spans="1:7" x14ac:dyDescent="0.2">
      <c r="A269" s="72">
        <v>266</v>
      </c>
      <c r="B269" s="74">
        <v>44185</v>
      </c>
      <c r="C269" s="73">
        <v>69</v>
      </c>
      <c r="D269" s="73">
        <f t="shared" si="13"/>
        <v>15273</v>
      </c>
      <c r="E269" s="73">
        <v>66</v>
      </c>
      <c r="F269" s="73">
        <f t="shared" si="14"/>
        <v>461</v>
      </c>
      <c r="G269" s="73">
        <f t="shared" si="15"/>
        <v>14812</v>
      </c>
    </row>
    <row r="270" spans="1:7" x14ac:dyDescent="0.2">
      <c r="A270" s="72">
        <v>267</v>
      </c>
      <c r="B270" s="74">
        <v>44186</v>
      </c>
      <c r="C270" s="73">
        <v>134</v>
      </c>
      <c r="D270" s="73">
        <f t="shared" si="13"/>
        <v>15407</v>
      </c>
      <c r="E270" s="73">
        <v>87</v>
      </c>
      <c r="F270" s="73">
        <f t="shared" si="14"/>
        <v>508</v>
      </c>
      <c r="G270" s="73">
        <f t="shared" si="15"/>
        <v>14899</v>
      </c>
    </row>
    <row r="271" spans="1:7" x14ac:dyDescent="0.2">
      <c r="A271" s="72">
        <v>268</v>
      </c>
      <c r="B271" s="74">
        <v>44187</v>
      </c>
      <c r="C271" s="73">
        <v>211</v>
      </c>
      <c r="D271" s="73">
        <f t="shared" si="13"/>
        <v>15618</v>
      </c>
      <c r="E271" s="73">
        <v>61</v>
      </c>
      <c r="F271" s="73">
        <f t="shared" si="14"/>
        <v>658</v>
      </c>
      <c r="G271" s="73">
        <f t="shared" si="15"/>
        <v>14960</v>
      </c>
    </row>
    <row r="272" spans="1:7" x14ac:dyDescent="0.2">
      <c r="A272" s="72">
        <v>269</v>
      </c>
      <c r="B272" s="74">
        <v>44188</v>
      </c>
      <c r="C272" s="73">
        <v>173</v>
      </c>
      <c r="D272" s="73">
        <f t="shared" si="13"/>
        <v>15791</v>
      </c>
      <c r="E272" s="73">
        <v>18</v>
      </c>
      <c r="F272" s="73">
        <f t="shared" si="14"/>
        <v>813</v>
      </c>
      <c r="G272" s="73">
        <f t="shared" si="15"/>
        <v>14978</v>
      </c>
    </row>
    <row r="273" spans="1:7" x14ac:dyDescent="0.2">
      <c r="A273" s="72">
        <v>270</v>
      </c>
      <c r="B273" s="74">
        <v>44189</v>
      </c>
      <c r="C273" s="73">
        <v>49</v>
      </c>
      <c r="D273" s="73">
        <f t="shared" si="13"/>
        <v>15840</v>
      </c>
      <c r="E273" s="73">
        <v>142</v>
      </c>
      <c r="F273" s="73">
        <f t="shared" si="14"/>
        <v>720</v>
      </c>
      <c r="G273" s="73">
        <f t="shared" si="15"/>
        <v>15120</v>
      </c>
    </row>
    <row r="274" spans="1:7" x14ac:dyDescent="0.2">
      <c r="A274" s="72">
        <v>271</v>
      </c>
      <c r="B274" s="74">
        <v>44190</v>
      </c>
      <c r="C274" s="73">
        <v>60</v>
      </c>
      <c r="D274" s="73">
        <f t="shared" si="13"/>
        <v>15900</v>
      </c>
      <c r="E274" s="73">
        <v>137</v>
      </c>
      <c r="F274" s="73">
        <f t="shared" si="14"/>
        <v>643</v>
      </c>
      <c r="G274" s="73">
        <f t="shared" si="15"/>
        <v>15257</v>
      </c>
    </row>
    <row r="275" spans="1:7" x14ac:dyDescent="0.2">
      <c r="A275" s="72">
        <v>272</v>
      </c>
      <c r="B275" s="74">
        <v>44191</v>
      </c>
      <c r="C275" s="73">
        <v>115</v>
      </c>
      <c r="D275" s="73">
        <f t="shared" ref="D275:D338" si="16">D274+C275</f>
        <v>16015</v>
      </c>
      <c r="E275" s="73">
        <v>76</v>
      </c>
      <c r="F275" s="73">
        <f t="shared" ref="F275:F338" si="17">F274+C275-E275</f>
        <v>682</v>
      </c>
      <c r="G275" s="73">
        <f t="shared" ref="G275:G338" si="18">G274+E275</f>
        <v>15333</v>
      </c>
    </row>
    <row r="276" spans="1:7" x14ac:dyDescent="0.2">
      <c r="A276" s="72">
        <v>273</v>
      </c>
      <c r="B276" s="74">
        <v>44192</v>
      </c>
      <c r="C276" s="73">
        <v>45</v>
      </c>
      <c r="D276" s="73">
        <f t="shared" si="16"/>
        <v>16060</v>
      </c>
      <c r="E276" s="73">
        <v>23</v>
      </c>
      <c r="F276" s="73">
        <f t="shared" si="17"/>
        <v>704</v>
      </c>
      <c r="G276" s="73">
        <f t="shared" si="18"/>
        <v>15356</v>
      </c>
    </row>
    <row r="277" spans="1:7" x14ac:dyDescent="0.2">
      <c r="A277" s="72">
        <v>274</v>
      </c>
      <c r="B277" s="74">
        <v>44193</v>
      </c>
      <c r="C277" s="73">
        <v>133</v>
      </c>
      <c r="D277" s="73">
        <f t="shared" si="16"/>
        <v>16193</v>
      </c>
      <c r="E277" s="73">
        <v>130</v>
      </c>
      <c r="F277" s="73">
        <f t="shared" si="17"/>
        <v>707</v>
      </c>
      <c r="G277" s="73">
        <f t="shared" si="18"/>
        <v>15486</v>
      </c>
    </row>
    <row r="278" spans="1:7" x14ac:dyDescent="0.2">
      <c r="A278" s="72">
        <v>275</v>
      </c>
      <c r="B278" s="74">
        <v>44194</v>
      </c>
      <c r="C278" s="73">
        <v>85</v>
      </c>
      <c r="D278" s="73">
        <f t="shared" si="16"/>
        <v>16278</v>
      </c>
      <c r="E278" s="73">
        <v>331</v>
      </c>
      <c r="F278" s="73">
        <f t="shared" si="17"/>
        <v>461</v>
      </c>
      <c r="G278" s="73">
        <f t="shared" si="18"/>
        <v>15817</v>
      </c>
    </row>
    <row r="279" spans="1:7" x14ac:dyDescent="0.2">
      <c r="A279" s="72">
        <v>276</v>
      </c>
      <c r="B279" s="74">
        <v>44195</v>
      </c>
      <c r="C279" s="73">
        <v>66</v>
      </c>
      <c r="D279" s="73">
        <f t="shared" si="16"/>
        <v>16344</v>
      </c>
      <c r="E279" s="73">
        <v>133</v>
      </c>
      <c r="F279" s="73">
        <f t="shared" si="17"/>
        <v>394</v>
      </c>
      <c r="G279" s="73">
        <f t="shared" si="18"/>
        <v>15950</v>
      </c>
    </row>
    <row r="280" spans="1:7" x14ac:dyDescent="0.2">
      <c r="A280" s="72">
        <v>277</v>
      </c>
      <c r="B280" s="74">
        <v>44196</v>
      </c>
      <c r="C280" s="73">
        <v>88</v>
      </c>
      <c r="D280" s="73">
        <f t="shared" si="16"/>
        <v>16432</v>
      </c>
      <c r="E280" s="73">
        <v>226</v>
      </c>
      <c r="F280" s="73">
        <f t="shared" si="17"/>
        <v>256</v>
      </c>
      <c r="G280" s="73">
        <f t="shared" si="18"/>
        <v>16176</v>
      </c>
    </row>
    <row r="281" spans="1:7" x14ac:dyDescent="0.2">
      <c r="A281" s="72">
        <v>278</v>
      </c>
      <c r="B281" s="74">
        <v>44197</v>
      </c>
      <c r="C281" s="73">
        <v>94</v>
      </c>
      <c r="D281" s="73">
        <f t="shared" si="16"/>
        <v>16526</v>
      </c>
      <c r="E281" s="73">
        <v>199</v>
      </c>
      <c r="F281" s="73">
        <f t="shared" si="17"/>
        <v>151</v>
      </c>
      <c r="G281" s="73">
        <f t="shared" si="18"/>
        <v>16375</v>
      </c>
    </row>
    <row r="282" spans="1:7" x14ac:dyDescent="0.2">
      <c r="A282" s="72">
        <v>279</v>
      </c>
      <c r="B282" s="74">
        <v>44198</v>
      </c>
      <c r="C282" s="73">
        <v>212</v>
      </c>
      <c r="D282" s="73">
        <f t="shared" si="16"/>
        <v>16738</v>
      </c>
      <c r="E282" s="73">
        <v>113</v>
      </c>
      <c r="F282" s="73">
        <f t="shared" si="17"/>
        <v>250</v>
      </c>
      <c r="G282" s="73">
        <f t="shared" si="18"/>
        <v>16488</v>
      </c>
    </row>
    <row r="283" spans="1:7" x14ac:dyDescent="0.2">
      <c r="A283" s="72">
        <v>280</v>
      </c>
      <c r="B283" s="74">
        <v>44199</v>
      </c>
      <c r="C283" s="73">
        <v>50</v>
      </c>
      <c r="D283" s="73">
        <f t="shared" si="16"/>
        <v>16788</v>
      </c>
      <c r="E283" s="73">
        <v>60</v>
      </c>
      <c r="F283" s="73">
        <f t="shared" si="17"/>
        <v>240</v>
      </c>
      <c r="G283" s="73">
        <f t="shared" si="18"/>
        <v>16548</v>
      </c>
    </row>
    <row r="284" spans="1:7" x14ac:dyDescent="0.2">
      <c r="A284" s="72">
        <v>281</v>
      </c>
      <c r="B284" s="74">
        <v>44200</v>
      </c>
      <c r="C284" s="73">
        <v>181</v>
      </c>
      <c r="D284" s="73">
        <f t="shared" si="16"/>
        <v>16969</v>
      </c>
      <c r="E284" s="73">
        <v>118</v>
      </c>
      <c r="F284" s="73">
        <f t="shared" si="17"/>
        <v>303</v>
      </c>
      <c r="G284" s="73">
        <f t="shared" si="18"/>
        <v>16666</v>
      </c>
    </row>
    <row r="285" spans="1:7" x14ac:dyDescent="0.2">
      <c r="A285" s="72">
        <v>282</v>
      </c>
      <c r="B285" s="74">
        <v>44201</v>
      </c>
      <c r="C285" s="73">
        <v>163</v>
      </c>
      <c r="D285" s="73">
        <f t="shared" si="16"/>
        <v>17132</v>
      </c>
      <c r="E285" s="73">
        <v>226</v>
      </c>
      <c r="F285" s="73">
        <f t="shared" si="17"/>
        <v>240</v>
      </c>
      <c r="G285" s="73">
        <f t="shared" si="18"/>
        <v>16892</v>
      </c>
    </row>
    <row r="286" spans="1:7" x14ac:dyDescent="0.2">
      <c r="A286" s="72">
        <v>283</v>
      </c>
      <c r="B286" s="74">
        <v>44202</v>
      </c>
      <c r="C286" s="73">
        <v>201</v>
      </c>
      <c r="D286" s="73">
        <f t="shared" si="16"/>
        <v>17333</v>
      </c>
      <c r="E286" s="73">
        <v>166</v>
      </c>
      <c r="F286" s="73">
        <f t="shared" si="17"/>
        <v>275</v>
      </c>
      <c r="G286" s="73">
        <f t="shared" si="18"/>
        <v>17058</v>
      </c>
    </row>
    <row r="287" spans="1:7" x14ac:dyDescent="0.2">
      <c r="A287" s="72">
        <v>284</v>
      </c>
      <c r="B287" s="74">
        <v>44203</v>
      </c>
      <c r="C287" s="73">
        <v>125</v>
      </c>
      <c r="D287" s="73">
        <f t="shared" si="16"/>
        <v>17458</v>
      </c>
      <c r="E287" s="73">
        <v>79</v>
      </c>
      <c r="F287" s="73">
        <f t="shared" si="17"/>
        <v>321</v>
      </c>
      <c r="G287" s="73">
        <f t="shared" si="18"/>
        <v>17137</v>
      </c>
    </row>
    <row r="288" spans="1:7" x14ac:dyDescent="0.2">
      <c r="A288" s="72">
        <v>285</v>
      </c>
      <c r="B288" s="74">
        <v>44204</v>
      </c>
      <c r="C288" s="73">
        <v>134</v>
      </c>
      <c r="D288" s="73">
        <f t="shared" si="16"/>
        <v>17592</v>
      </c>
      <c r="E288" s="73">
        <v>15</v>
      </c>
      <c r="F288" s="73">
        <f t="shared" si="17"/>
        <v>440</v>
      </c>
      <c r="G288" s="73">
        <f t="shared" si="18"/>
        <v>17152</v>
      </c>
    </row>
    <row r="289" spans="1:7" x14ac:dyDescent="0.2">
      <c r="A289" s="72">
        <v>286</v>
      </c>
      <c r="B289" s="74">
        <v>44205</v>
      </c>
      <c r="C289" s="73">
        <v>169</v>
      </c>
      <c r="D289" s="73">
        <f t="shared" si="16"/>
        <v>17761</v>
      </c>
      <c r="E289" s="73">
        <v>130</v>
      </c>
      <c r="F289" s="73">
        <f t="shared" si="17"/>
        <v>479</v>
      </c>
      <c r="G289" s="73">
        <f t="shared" si="18"/>
        <v>17282</v>
      </c>
    </row>
    <row r="290" spans="1:7" x14ac:dyDescent="0.2">
      <c r="A290" s="72">
        <v>287</v>
      </c>
      <c r="B290" s="74">
        <v>44206</v>
      </c>
      <c r="C290" s="73">
        <v>80</v>
      </c>
      <c r="D290" s="73">
        <f t="shared" si="16"/>
        <v>17841</v>
      </c>
      <c r="E290" s="73">
        <v>32</v>
      </c>
      <c r="F290" s="73">
        <f t="shared" si="17"/>
        <v>527</v>
      </c>
      <c r="G290" s="73">
        <f t="shared" si="18"/>
        <v>17314</v>
      </c>
    </row>
    <row r="291" spans="1:7" x14ac:dyDescent="0.2">
      <c r="A291" s="72">
        <v>288</v>
      </c>
      <c r="B291" s="74">
        <v>44207</v>
      </c>
      <c r="C291" s="73">
        <v>162</v>
      </c>
      <c r="D291" s="73">
        <f t="shared" si="16"/>
        <v>18003</v>
      </c>
      <c r="E291" s="73">
        <v>173</v>
      </c>
      <c r="F291" s="73">
        <f t="shared" si="17"/>
        <v>516</v>
      </c>
      <c r="G291" s="73">
        <f t="shared" si="18"/>
        <v>17487</v>
      </c>
    </row>
    <row r="292" spans="1:7" x14ac:dyDescent="0.2">
      <c r="A292" s="72">
        <v>289</v>
      </c>
      <c r="B292" s="74">
        <v>44208</v>
      </c>
      <c r="C292" s="73">
        <v>164</v>
      </c>
      <c r="D292" s="73">
        <f t="shared" si="16"/>
        <v>18167</v>
      </c>
      <c r="E292" s="73">
        <v>89</v>
      </c>
      <c r="F292" s="73">
        <f t="shared" si="17"/>
        <v>591</v>
      </c>
      <c r="G292" s="73">
        <f t="shared" si="18"/>
        <v>17576</v>
      </c>
    </row>
    <row r="293" spans="1:7" x14ac:dyDescent="0.2">
      <c r="A293" s="72">
        <v>290</v>
      </c>
      <c r="B293" s="74">
        <v>44209</v>
      </c>
      <c r="C293" s="73">
        <v>93</v>
      </c>
      <c r="D293" s="73">
        <f t="shared" si="16"/>
        <v>18260</v>
      </c>
      <c r="E293" s="73">
        <v>393</v>
      </c>
      <c r="F293" s="73">
        <f t="shared" si="17"/>
        <v>291</v>
      </c>
      <c r="G293" s="73">
        <f t="shared" si="18"/>
        <v>17969</v>
      </c>
    </row>
    <row r="294" spans="1:7" x14ac:dyDescent="0.2">
      <c r="A294" s="72">
        <v>291</v>
      </c>
      <c r="B294" s="74">
        <v>44210</v>
      </c>
      <c r="C294" s="73">
        <v>223</v>
      </c>
      <c r="D294" s="73">
        <f t="shared" si="16"/>
        <v>18483</v>
      </c>
      <c r="E294" s="73">
        <v>176</v>
      </c>
      <c r="F294" s="73">
        <f t="shared" si="17"/>
        <v>338</v>
      </c>
      <c r="G294" s="73">
        <f t="shared" si="18"/>
        <v>18145</v>
      </c>
    </row>
    <row r="295" spans="1:7" x14ac:dyDescent="0.2">
      <c r="A295" s="72">
        <v>292</v>
      </c>
      <c r="B295" s="74">
        <v>44211</v>
      </c>
      <c r="C295" s="73">
        <v>304</v>
      </c>
      <c r="D295" s="73">
        <f t="shared" si="16"/>
        <v>18787</v>
      </c>
      <c r="E295" s="73">
        <v>96</v>
      </c>
      <c r="F295" s="73">
        <f t="shared" si="17"/>
        <v>546</v>
      </c>
      <c r="G295" s="73">
        <f t="shared" si="18"/>
        <v>18241</v>
      </c>
    </row>
    <row r="296" spans="1:7" x14ac:dyDescent="0.2">
      <c r="A296" s="72">
        <v>293</v>
      </c>
      <c r="B296" s="74">
        <v>44212</v>
      </c>
      <c r="C296" s="73">
        <v>205</v>
      </c>
      <c r="D296" s="73">
        <f t="shared" si="16"/>
        <v>18992</v>
      </c>
      <c r="E296" s="73">
        <v>170</v>
      </c>
      <c r="F296" s="73">
        <f t="shared" si="17"/>
        <v>581</v>
      </c>
      <c r="G296" s="73">
        <f t="shared" si="18"/>
        <v>18411</v>
      </c>
    </row>
    <row r="297" spans="1:7" x14ac:dyDescent="0.2">
      <c r="A297" s="72">
        <v>294</v>
      </c>
      <c r="B297" s="74">
        <v>44213</v>
      </c>
      <c r="C297" s="73">
        <v>45</v>
      </c>
      <c r="D297" s="73">
        <f t="shared" si="16"/>
        <v>19037</v>
      </c>
      <c r="E297" s="73">
        <v>120</v>
      </c>
      <c r="F297" s="73">
        <f t="shared" si="17"/>
        <v>506</v>
      </c>
      <c r="G297" s="73">
        <f t="shared" si="18"/>
        <v>18531</v>
      </c>
    </row>
    <row r="298" spans="1:7" x14ac:dyDescent="0.2">
      <c r="A298" s="72">
        <v>295</v>
      </c>
      <c r="B298" s="74">
        <v>44214</v>
      </c>
      <c r="C298" s="73">
        <v>196</v>
      </c>
      <c r="D298" s="73">
        <f t="shared" si="16"/>
        <v>19233</v>
      </c>
      <c r="E298" s="73">
        <v>128</v>
      </c>
      <c r="F298" s="73">
        <f t="shared" si="17"/>
        <v>574</v>
      </c>
      <c r="G298" s="73">
        <f t="shared" si="18"/>
        <v>18659</v>
      </c>
    </row>
    <row r="299" spans="1:7" x14ac:dyDescent="0.2">
      <c r="A299" s="72">
        <v>296</v>
      </c>
      <c r="B299" s="74">
        <v>44215</v>
      </c>
      <c r="C299" s="73">
        <v>302</v>
      </c>
      <c r="D299" s="73">
        <f t="shared" si="16"/>
        <v>19535</v>
      </c>
      <c r="E299" s="73">
        <v>217</v>
      </c>
      <c r="F299" s="73">
        <f t="shared" si="17"/>
        <v>659</v>
      </c>
      <c r="G299" s="73">
        <f t="shared" si="18"/>
        <v>18876</v>
      </c>
    </row>
    <row r="300" spans="1:7" x14ac:dyDescent="0.2">
      <c r="A300" s="72">
        <v>297</v>
      </c>
      <c r="B300" s="74">
        <v>44216</v>
      </c>
      <c r="C300" s="73">
        <v>300</v>
      </c>
      <c r="D300" s="73">
        <f t="shared" si="16"/>
        <v>19835</v>
      </c>
      <c r="E300" s="73">
        <v>137</v>
      </c>
      <c r="F300" s="73">
        <f t="shared" si="17"/>
        <v>822</v>
      </c>
      <c r="G300" s="73">
        <f t="shared" si="18"/>
        <v>19013</v>
      </c>
    </row>
    <row r="301" spans="1:7" x14ac:dyDescent="0.2">
      <c r="A301" s="72">
        <v>298</v>
      </c>
      <c r="B301" s="74">
        <v>44217</v>
      </c>
      <c r="C301" s="73">
        <v>94</v>
      </c>
      <c r="D301" s="73">
        <f t="shared" si="16"/>
        <v>19929</v>
      </c>
      <c r="E301" s="73">
        <v>121</v>
      </c>
      <c r="F301" s="73">
        <f t="shared" si="17"/>
        <v>795</v>
      </c>
      <c r="G301" s="73">
        <f t="shared" si="18"/>
        <v>19134</v>
      </c>
    </row>
    <row r="302" spans="1:7" x14ac:dyDescent="0.2">
      <c r="A302" s="72">
        <v>299</v>
      </c>
      <c r="B302" s="74">
        <v>44218</v>
      </c>
      <c r="C302" s="73">
        <v>214</v>
      </c>
      <c r="D302" s="73">
        <f t="shared" si="16"/>
        <v>20143</v>
      </c>
      <c r="E302" s="73">
        <v>197</v>
      </c>
      <c r="F302" s="73">
        <f t="shared" si="17"/>
        <v>812</v>
      </c>
      <c r="G302" s="73">
        <f t="shared" si="18"/>
        <v>19331</v>
      </c>
    </row>
    <row r="303" spans="1:7" x14ac:dyDescent="0.2">
      <c r="A303" s="72">
        <v>300</v>
      </c>
      <c r="B303" s="74">
        <v>44219</v>
      </c>
      <c r="C303" s="73">
        <v>84</v>
      </c>
      <c r="D303" s="73">
        <f t="shared" si="16"/>
        <v>20227</v>
      </c>
      <c r="E303" s="73">
        <v>135</v>
      </c>
      <c r="F303" s="73">
        <f t="shared" si="17"/>
        <v>761</v>
      </c>
      <c r="G303" s="73">
        <f t="shared" si="18"/>
        <v>19466</v>
      </c>
    </row>
    <row r="304" spans="1:7" x14ac:dyDescent="0.2">
      <c r="A304" s="72">
        <v>301</v>
      </c>
      <c r="B304" s="74">
        <v>44220</v>
      </c>
      <c r="C304" s="73">
        <v>11</v>
      </c>
      <c r="D304" s="73">
        <f t="shared" si="16"/>
        <v>20238</v>
      </c>
      <c r="E304" s="73">
        <v>39</v>
      </c>
      <c r="F304" s="73">
        <f t="shared" si="17"/>
        <v>733</v>
      </c>
      <c r="G304" s="73">
        <f t="shared" si="18"/>
        <v>19505</v>
      </c>
    </row>
    <row r="305" spans="1:7" x14ac:dyDescent="0.2">
      <c r="A305" s="72">
        <v>302</v>
      </c>
      <c r="B305" s="74">
        <v>44221</v>
      </c>
      <c r="C305" s="73">
        <v>95</v>
      </c>
      <c r="D305" s="73">
        <f t="shared" si="16"/>
        <v>20333</v>
      </c>
      <c r="E305" s="73">
        <v>241</v>
      </c>
      <c r="F305" s="73">
        <f t="shared" si="17"/>
        <v>587</v>
      </c>
      <c r="G305" s="73">
        <f t="shared" si="18"/>
        <v>19746</v>
      </c>
    </row>
    <row r="306" spans="1:7" x14ac:dyDescent="0.2">
      <c r="A306" s="72">
        <v>303</v>
      </c>
      <c r="B306" s="74">
        <v>44222</v>
      </c>
      <c r="C306" s="73">
        <v>230</v>
      </c>
      <c r="D306" s="73">
        <f t="shared" si="16"/>
        <v>20563</v>
      </c>
      <c r="E306" s="73">
        <v>79</v>
      </c>
      <c r="F306" s="73">
        <f t="shared" si="17"/>
        <v>738</v>
      </c>
      <c r="G306" s="73">
        <f t="shared" si="18"/>
        <v>19825</v>
      </c>
    </row>
    <row r="307" spans="1:7" x14ac:dyDescent="0.2">
      <c r="A307" s="72">
        <v>304</v>
      </c>
      <c r="B307" s="74">
        <v>44223</v>
      </c>
      <c r="C307" s="73">
        <v>316</v>
      </c>
      <c r="D307" s="73">
        <f t="shared" si="16"/>
        <v>20879</v>
      </c>
      <c r="E307" s="73">
        <v>114</v>
      </c>
      <c r="F307" s="73">
        <f t="shared" si="17"/>
        <v>940</v>
      </c>
      <c r="G307" s="73">
        <f t="shared" si="18"/>
        <v>19939</v>
      </c>
    </row>
    <row r="308" spans="1:7" x14ac:dyDescent="0.2">
      <c r="A308" s="72">
        <v>305</v>
      </c>
      <c r="B308" s="74">
        <v>44224</v>
      </c>
      <c r="C308" s="73">
        <v>357</v>
      </c>
      <c r="D308" s="73">
        <f t="shared" si="16"/>
        <v>21236</v>
      </c>
      <c r="E308" s="73">
        <v>66</v>
      </c>
      <c r="F308" s="73">
        <f t="shared" si="17"/>
        <v>1231</v>
      </c>
      <c r="G308" s="73">
        <f t="shared" si="18"/>
        <v>20005</v>
      </c>
    </row>
    <row r="309" spans="1:7" x14ac:dyDescent="0.2">
      <c r="A309" s="72">
        <v>306</v>
      </c>
      <c r="B309" s="74">
        <v>44225</v>
      </c>
      <c r="C309" s="73">
        <v>144</v>
      </c>
      <c r="D309" s="73">
        <f t="shared" si="16"/>
        <v>21380</v>
      </c>
      <c r="E309" s="73">
        <v>98</v>
      </c>
      <c r="F309" s="73">
        <f t="shared" si="17"/>
        <v>1277</v>
      </c>
      <c r="G309" s="73">
        <f t="shared" si="18"/>
        <v>20103</v>
      </c>
    </row>
    <row r="310" spans="1:7" x14ac:dyDescent="0.2">
      <c r="A310" s="72">
        <v>307</v>
      </c>
      <c r="B310" s="74">
        <v>44226</v>
      </c>
      <c r="C310" s="73">
        <v>210</v>
      </c>
      <c r="D310" s="73">
        <f t="shared" si="16"/>
        <v>21590</v>
      </c>
      <c r="E310" s="73">
        <v>180</v>
      </c>
      <c r="F310" s="73">
        <f t="shared" si="17"/>
        <v>1307</v>
      </c>
      <c r="G310" s="73">
        <f t="shared" si="18"/>
        <v>20283</v>
      </c>
    </row>
    <row r="311" spans="1:7" x14ac:dyDescent="0.2">
      <c r="A311" s="72">
        <v>308</v>
      </c>
      <c r="B311" s="74">
        <v>44227</v>
      </c>
      <c r="C311" s="73">
        <v>28</v>
      </c>
      <c r="D311" s="73">
        <f t="shared" si="16"/>
        <v>21618</v>
      </c>
      <c r="E311" s="73">
        <v>38</v>
      </c>
      <c r="F311" s="73">
        <f t="shared" si="17"/>
        <v>1297</v>
      </c>
      <c r="G311" s="73">
        <f t="shared" si="18"/>
        <v>20321</v>
      </c>
    </row>
    <row r="312" spans="1:7" x14ac:dyDescent="0.2">
      <c r="A312" s="72">
        <v>309</v>
      </c>
      <c r="B312" s="74">
        <v>44228</v>
      </c>
      <c r="C312" s="73">
        <v>373</v>
      </c>
      <c r="D312" s="73">
        <f t="shared" si="16"/>
        <v>21991</v>
      </c>
      <c r="E312" s="73">
        <v>305</v>
      </c>
      <c r="F312" s="73">
        <f t="shared" si="17"/>
        <v>1365</v>
      </c>
      <c r="G312" s="73">
        <f t="shared" si="18"/>
        <v>20626</v>
      </c>
    </row>
    <row r="313" spans="1:7" x14ac:dyDescent="0.2">
      <c r="A313" s="72">
        <v>310</v>
      </c>
      <c r="B313" s="74">
        <v>44229</v>
      </c>
      <c r="C313" s="73">
        <v>230</v>
      </c>
      <c r="D313" s="73">
        <f t="shared" si="16"/>
        <v>22221</v>
      </c>
      <c r="E313" s="73">
        <v>56</v>
      </c>
      <c r="F313" s="73">
        <f t="shared" si="17"/>
        <v>1539</v>
      </c>
      <c r="G313" s="73">
        <f t="shared" si="18"/>
        <v>20682</v>
      </c>
    </row>
    <row r="314" spans="1:7" x14ac:dyDescent="0.2">
      <c r="A314" s="72">
        <v>311</v>
      </c>
      <c r="B314" s="74">
        <v>44230</v>
      </c>
      <c r="C314" s="73">
        <v>269</v>
      </c>
      <c r="D314" s="73">
        <f t="shared" si="16"/>
        <v>22490</v>
      </c>
      <c r="E314" s="73">
        <v>87</v>
      </c>
      <c r="F314" s="73">
        <f t="shared" si="17"/>
        <v>1721</v>
      </c>
      <c r="G314" s="73">
        <f t="shared" si="18"/>
        <v>20769</v>
      </c>
    </row>
    <row r="315" spans="1:7" x14ac:dyDescent="0.2">
      <c r="A315" s="72">
        <v>312</v>
      </c>
      <c r="B315" s="74">
        <v>44231</v>
      </c>
      <c r="C315" s="73">
        <v>280</v>
      </c>
      <c r="D315" s="73">
        <f t="shared" si="16"/>
        <v>22770</v>
      </c>
      <c r="E315" s="73">
        <v>52</v>
      </c>
      <c r="F315" s="73">
        <f t="shared" si="17"/>
        <v>1949</v>
      </c>
      <c r="G315" s="73">
        <f t="shared" si="18"/>
        <v>20821</v>
      </c>
    </row>
    <row r="316" spans="1:7" x14ac:dyDescent="0.2">
      <c r="A316" s="72">
        <v>313</v>
      </c>
      <c r="B316" s="74">
        <v>44232</v>
      </c>
      <c r="C316" s="73">
        <v>244</v>
      </c>
      <c r="D316" s="73">
        <f t="shared" si="16"/>
        <v>23014</v>
      </c>
      <c r="E316" s="73">
        <v>192</v>
      </c>
      <c r="F316" s="73">
        <f t="shared" si="17"/>
        <v>2001</v>
      </c>
      <c r="G316" s="73">
        <f t="shared" si="18"/>
        <v>21013</v>
      </c>
    </row>
    <row r="317" spans="1:7" x14ac:dyDescent="0.2">
      <c r="A317" s="72">
        <v>314</v>
      </c>
      <c r="B317" s="74">
        <v>44233</v>
      </c>
      <c r="C317" s="73">
        <v>234</v>
      </c>
      <c r="D317" s="73">
        <f t="shared" si="16"/>
        <v>23248</v>
      </c>
      <c r="E317" s="73">
        <v>76</v>
      </c>
      <c r="F317" s="73">
        <f t="shared" si="17"/>
        <v>2159</v>
      </c>
      <c r="G317" s="73">
        <f t="shared" si="18"/>
        <v>21089</v>
      </c>
    </row>
    <row r="318" spans="1:7" x14ac:dyDescent="0.2">
      <c r="A318" s="72">
        <v>315</v>
      </c>
      <c r="B318" s="74">
        <v>44234</v>
      </c>
      <c r="C318" s="73">
        <v>63</v>
      </c>
      <c r="D318" s="73">
        <f t="shared" si="16"/>
        <v>23311</v>
      </c>
      <c r="E318" s="73">
        <v>11</v>
      </c>
      <c r="F318" s="73">
        <f t="shared" si="17"/>
        <v>2211</v>
      </c>
      <c r="G318" s="73">
        <f t="shared" si="18"/>
        <v>21100</v>
      </c>
    </row>
    <row r="319" spans="1:7" x14ac:dyDescent="0.2">
      <c r="A319" s="72">
        <v>316</v>
      </c>
      <c r="B319" s="74">
        <v>44235</v>
      </c>
      <c r="C319" s="73">
        <v>170</v>
      </c>
      <c r="D319" s="73">
        <f t="shared" si="16"/>
        <v>23481</v>
      </c>
      <c r="E319" s="73">
        <v>170</v>
      </c>
      <c r="F319" s="73">
        <f t="shared" si="17"/>
        <v>2211</v>
      </c>
      <c r="G319" s="73">
        <f t="shared" si="18"/>
        <v>21270</v>
      </c>
    </row>
    <row r="320" spans="1:7" x14ac:dyDescent="0.2">
      <c r="A320" s="72">
        <v>317</v>
      </c>
      <c r="B320" s="74">
        <v>44236</v>
      </c>
      <c r="C320" s="73">
        <v>134</v>
      </c>
      <c r="D320" s="73">
        <f t="shared" si="16"/>
        <v>23615</v>
      </c>
      <c r="E320" s="73">
        <v>35</v>
      </c>
      <c r="F320" s="73">
        <f t="shared" si="17"/>
        <v>2310</v>
      </c>
      <c r="G320" s="73">
        <f t="shared" si="18"/>
        <v>21305</v>
      </c>
    </row>
    <row r="321" spans="1:7" x14ac:dyDescent="0.2">
      <c r="A321" s="72">
        <v>318</v>
      </c>
      <c r="B321" s="74">
        <v>44237</v>
      </c>
      <c r="C321" s="73">
        <v>204</v>
      </c>
      <c r="D321" s="73">
        <f t="shared" si="16"/>
        <v>23819</v>
      </c>
      <c r="E321" s="73">
        <v>305</v>
      </c>
      <c r="F321" s="73">
        <f t="shared" si="17"/>
        <v>2209</v>
      </c>
      <c r="G321" s="73">
        <f t="shared" si="18"/>
        <v>21610</v>
      </c>
    </row>
    <row r="322" spans="1:7" x14ac:dyDescent="0.2">
      <c r="A322" s="72">
        <v>319</v>
      </c>
      <c r="B322" s="74">
        <v>44238</v>
      </c>
      <c r="C322" s="73">
        <v>156</v>
      </c>
      <c r="D322" s="73">
        <f t="shared" si="16"/>
        <v>23975</v>
      </c>
      <c r="E322" s="73">
        <v>307</v>
      </c>
      <c r="F322" s="73">
        <f t="shared" si="17"/>
        <v>2058</v>
      </c>
      <c r="G322" s="73">
        <f t="shared" si="18"/>
        <v>21917</v>
      </c>
    </row>
    <row r="323" spans="1:7" x14ac:dyDescent="0.2">
      <c r="A323" s="72">
        <v>320</v>
      </c>
      <c r="B323" s="74">
        <v>44239</v>
      </c>
      <c r="C323" s="73">
        <v>117</v>
      </c>
      <c r="D323" s="73">
        <f t="shared" si="16"/>
        <v>24092</v>
      </c>
      <c r="E323" s="73">
        <v>189</v>
      </c>
      <c r="F323" s="73">
        <f t="shared" si="17"/>
        <v>1986</v>
      </c>
      <c r="G323" s="73">
        <f t="shared" si="18"/>
        <v>22106</v>
      </c>
    </row>
    <row r="324" spans="1:7" x14ac:dyDescent="0.2">
      <c r="A324" s="72">
        <v>321</v>
      </c>
      <c r="B324" s="74">
        <v>44240</v>
      </c>
      <c r="C324" s="73">
        <v>210</v>
      </c>
      <c r="D324" s="73">
        <f t="shared" si="16"/>
        <v>24302</v>
      </c>
      <c r="E324" s="73">
        <v>142</v>
      </c>
      <c r="F324" s="73">
        <f t="shared" si="17"/>
        <v>2054</v>
      </c>
      <c r="G324" s="73">
        <f t="shared" si="18"/>
        <v>22248</v>
      </c>
    </row>
    <row r="325" spans="1:7" x14ac:dyDescent="0.2">
      <c r="A325" s="72">
        <v>322</v>
      </c>
      <c r="B325" s="74">
        <v>44241</v>
      </c>
      <c r="C325" s="73">
        <v>48</v>
      </c>
      <c r="D325" s="73">
        <f t="shared" si="16"/>
        <v>24350</v>
      </c>
      <c r="E325" s="73">
        <v>21</v>
      </c>
      <c r="F325" s="73">
        <f t="shared" si="17"/>
        <v>2081</v>
      </c>
      <c r="G325" s="73">
        <f t="shared" si="18"/>
        <v>22269</v>
      </c>
    </row>
    <row r="326" spans="1:7" x14ac:dyDescent="0.2">
      <c r="A326" s="72">
        <v>323</v>
      </c>
      <c r="B326" s="74">
        <v>44242</v>
      </c>
      <c r="C326" s="73">
        <v>130</v>
      </c>
      <c r="D326" s="73">
        <f t="shared" si="16"/>
        <v>24480</v>
      </c>
      <c r="E326" s="73">
        <v>472</v>
      </c>
      <c r="F326" s="73">
        <f t="shared" si="17"/>
        <v>1739</v>
      </c>
      <c r="G326" s="73">
        <f t="shared" si="18"/>
        <v>22741</v>
      </c>
    </row>
    <row r="327" spans="1:7" x14ac:dyDescent="0.2">
      <c r="A327" s="72">
        <v>324</v>
      </c>
      <c r="B327" s="74">
        <v>44243</v>
      </c>
      <c r="C327" s="73">
        <v>357</v>
      </c>
      <c r="D327" s="73">
        <f t="shared" si="16"/>
        <v>24837</v>
      </c>
      <c r="E327" s="73">
        <v>241</v>
      </c>
      <c r="F327" s="73">
        <f t="shared" si="17"/>
        <v>1855</v>
      </c>
      <c r="G327" s="73">
        <f t="shared" si="18"/>
        <v>22982</v>
      </c>
    </row>
    <row r="328" spans="1:7" x14ac:dyDescent="0.2">
      <c r="A328" s="72">
        <v>325</v>
      </c>
      <c r="B328" s="74">
        <v>44244</v>
      </c>
      <c r="C328" s="73">
        <v>358</v>
      </c>
      <c r="D328" s="73">
        <f t="shared" si="16"/>
        <v>25195</v>
      </c>
      <c r="E328" s="73">
        <v>215</v>
      </c>
      <c r="F328" s="73">
        <f t="shared" si="17"/>
        <v>1998</v>
      </c>
      <c r="G328" s="73">
        <f t="shared" si="18"/>
        <v>23197</v>
      </c>
    </row>
    <row r="329" spans="1:7" x14ac:dyDescent="0.2">
      <c r="A329" s="72">
        <v>326</v>
      </c>
      <c r="B329" s="74">
        <v>44245</v>
      </c>
      <c r="C329" s="73">
        <v>197</v>
      </c>
      <c r="D329" s="73">
        <f t="shared" si="16"/>
        <v>25392</v>
      </c>
      <c r="E329" s="73">
        <v>331</v>
      </c>
      <c r="F329" s="73">
        <f t="shared" si="17"/>
        <v>1864</v>
      </c>
      <c r="G329" s="73">
        <f t="shared" si="18"/>
        <v>23528</v>
      </c>
    </row>
    <row r="330" spans="1:7" x14ac:dyDescent="0.2">
      <c r="A330" s="72">
        <v>327</v>
      </c>
      <c r="B330" s="74">
        <v>44246</v>
      </c>
      <c r="C330" s="73">
        <v>176</v>
      </c>
      <c r="D330" s="73">
        <f t="shared" si="16"/>
        <v>25568</v>
      </c>
      <c r="E330" s="73">
        <v>207</v>
      </c>
      <c r="F330" s="73">
        <f t="shared" si="17"/>
        <v>1833</v>
      </c>
      <c r="G330" s="73">
        <f t="shared" si="18"/>
        <v>23735</v>
      </c>
    </row>
    <row r="331" spans="1:7" x14ac:dyDescent="0.2">
      <c r="A331" s="72">
        <v>328</v>
      </c>
      <c r="B331" s="74">
        <v>44247</v>
      </c>
      <c r="C331" s="73">
        <v>174</v>
      </c>
      <c r="D331" s="73">
        <f t="shared" si="16"/>
        <v>25742</v>
      </c>
      <c r="E331" s="73">
        <v>184</v>
      </c>
      <c r="F331" s="73">
        <f t="shared" si="17"/>
        <v>1823</v>
      </c>
      <c r="G331" s="73">
        <f t="shared" si="18"/>
        <v>23919</v>
      </c>
    </row>
    <row r="332" spans="1:7" x14ac:dyDescent="0.2">
      <c r="A332" s="72">
        <v>329</v>
      </c>
      <c r="B332" s="74">
        <v>44248</v>
      </c>
      <c r="C332" s="73">
        <v>96</v>
      </c>
      <c r="D332" s="73">
        <f t="shared" si="16"/>
        <v>25838</v>
      </c>
      <c r="E332" s="73">
        <v>60</v>
      </c>
      <c r="F332" s="73">
        <f t="shared" si="17"/>
        <v>1859</v>
      </c>
      <c r="G332" s="73">
        <f t="shared" si="18"/>
        <v>23979</v>
      </c>
    </row>
    <row r="333" spans="1:7" x14ac:dyDescent="0.2">
      <c r="A333" s="72">
        <v>330</v>
      </c>
      <c r="B333" s="74">
        <v>44249</v>
      </c>
      <c r="C333" s="73">
        <v>332</v>
      </c>
      <c r="D333" s="73">
        <f t="shared" si="16"/>
        <v>26170</v>
      </c>
      <c r="E333" s="73">
        <v>188</v>
      </c>
      <c r="F333" s="73">
        <f t="shared" si="17"/>
        <v>2003</v>
      </c>
      <c r="G333" s="73">
        <f t="shared" si="18"/>
        <v>24167</v>
      </c>
    </row>
    <row r="334" spans="1:7" x14ac:dyDescent="0.2">
      <c r="A334" s="72">
        <v>331</v>
      </c>
      <c r="B334" s="74">
        <v>44250</v>
      </c>
      <c r="C334" s="73">
        <v>353</v>
      </c>
      <c r="D334" s="73">
        <f t="shared" si="16"/>
        <v>26523</v>
      </c>
      <c r="E334" s="73">
        <v>134</v>
      </c>
      <c r="F334" s="73">
        <f t="shared" si="17"/>
        <v>2222</v>
      </c>
      <c r="G334" s="73">
        <f t="shared" si="18"/>
        <v>24301</v>
      </c>
    </row>
    <row r="335" spans="1:7" x14ac:dyDescent="0.2">
      <c r="A335" s="72">
        <v>332</v>
      </c>
      <c r="B335" s="74">
        <v>44251</v>
      </c>
      <c r="C335" s="73">
        <v>430</v>
      </c>
      <c r="D335" s="73">
        <f t="shared" si="16"/>
        <v>26953</v>
      </c>
      <c r="E335" s="73">
        <v>180</v>
      </c>
      <c r="F335" s="73">
        <f t="shared" si="17"/>
        <v>2472</v>
      </c>
      <c r="G335" s="73">
        <f t="shared" si="18"/>
        <v>24481</v>
      </c>
    </row>
    <row r="336" spans="1:7" x14ac:dyDescent="0.2">
      <c r="A336" s="72">
        <v>333</v>
      </c>
      <c r="B336" s="74">
        <v>44252</v>
      </c>
      <c r="C336" s="73">
        <v>456</v>
      </c>
      <c r="D336" s="73">
        <f t="shared" si="16"/>
        <v>27409</v>
      </c>
      <c r="E336" s="73">
        <v>228</v>
      </c>
      <c r="F336" s="73">
        <f t="shared" si="17"/>
        <v>2700</v>
      </c>
      <c r="G336" s="73">
        <f t="shared" si="18"/>
        <v>24709</v>
      </c>
    </row>
    <row r="337" spans="1:7" x14ac:dyDescent="0.2">
      <c r="A337" s="72">
        <v>334</v>
      </c>
      <c r="B337" s="74">
        <v>44253</v>
      </c>
      <c r="C337" s="73">
        <v>168</v>
      </c>
      <c r="D337" s="73">
        <f t="shared" si="16"/>
        <v>27577</v>
      </c>
      <c r="E337" s="73">
        <v>82</v>
      </c>
      <c r="F337" s="73">
        <f t="shared" si="17"/>
        <v>2786</v>
      </c>
      <c r="G337" s="73">
        <f t="shared" si="18"/>
        <v>24791</v>
      </c>
    </row>
    <row r="338" spans="1:7" x14ac:dyDescent="0.2">
      <c r="A338" s="72">
        <v>335</v>
      </c>
      <c r="B338" s="74">
        <v>44254</v>
      </c>
      <c r="C338" s="73">
        <v>233</v>
      </c>
      <c r="D338" s="73">
        <f t="shared" si="16"/>
        <v>27810</v>
      </c>
      <c r="E338" s="73">
        <v>189</v>
      </c>
      <c r="F338" s="73">
        <f t="shared" si="17"/>
        <v>2830</v>
      </c>
      <c r="G338" s="73">
        <f t="shared" si="18"/>
        <v>24980</v>
      </c>
    </row>
    <row r="339" spans="1:7" x14ac:dyDescent="0.2">
      <c r="A339" s="72">
        <v>336</v>
      </c>
      <c r="B339" s="74">
        <v>44255</v>
      </c>
      <c r="C339" s="73">
        <v>10</v>
      </c>
      <c r="D339" s="73">
        <f t="shared" ref="D339:D402" si="19">D338+C339</f>
        <v>27820</v>
      </c>
      <c r="E339" s="73">
        <v>54</v>
      </c>
      <c r="F339" s="73">
        <f t="shared" ref="F339:F402" si="20">F338+C339-E339</f>
        <v>2786</v>
      </c>
      <c r="G339" s="73">
        <f t="shared" ref="G339:G402" si="21">G338+E339</f>
        <v>25034</v>
      </c>
    </row>
    <row r="340" spans="1:7" x14ac:dyDescent="0.2">
      <c r="A340" s="72">
        <v>337</v>
      </c>
      <c r="B340" s="74">
        <v>44256</v>
      </c>
      <c r="C340" s="73">
        <v>71</v>
      </c>
      <c r="D340" s="73">
        <f t="shared" si="19"/>
        <v>27891</v>
      </c>
      <c r="E340" s="73">
        <v>144</v>
      </c>
      <c r="F340" s="73">
        <f t="shared" si="20"/>
        <v>2713</v>
      </c>
      <c r="G340" s="73">
        <f t="shared" si="21"/>
        <v>25178</v>
      </c>
    </row>
    <row r="341" spans="1:7" x14ac:dyDescent="0.2">
      <c r="A341" s="72">
        <v>338</v>
      </c>
      <c r="B341" s="74">
        <v>44257</v>
      </c>
      <c r="C341" s="73">
        <v>117</v>
      </c>
      <c r="D341" s="73">
        <f t="shared" si="19"/>
        <v>28008</v>
      </c>
      <c r="E341" s="73">
        <v>418</v>
      </c>
      <c r="F341" s="73">
        <f t="shared" si="20"/>
        <v>2412</v>
      </c>
      <c r="G341" s="73">
        <f t="shared" si="21"/>
        <v>25596</v>
      </c>
    </row>
    <row r="342" spans="1:7" x14ac:dyDescent="0.2">
      <c r="A342" s="72">
        <v>339</v>
      </c>
      <c r="B342" s="74">
        <v>44258</v>
      </c>
      <c r="C342" s="73">
        <v>133</v>
      </c>
      <c r="D342" s="73">
        <f t="shared" si="19"/>
        <v>28141</v>
      </c>
      <c r="E342" s="73">
        <v>308</v>
      </c>
      <c r="F342" s="73">
        <f t="shared" si="20"/>
        <v>2237</v>
      </c>
      <c r="G342" s="73">
        <f t="shared" si="21"/>
        <v>25904</v>
      </c>
    </row>
    <row r="343" spans="1:7" x14ac:dyDescent="0.2">
      <c r="A343" s="72">
        <v>340</v>
      </c>
      <c r="B343" s="74">
        <v>44259</v>
      </c>
      <c r="C343" s="73">
        <v>253</v>
      </c>
      <c r="D343" s="73">
        <f t="shared" si="19"/>
        <v>28394</v>
      </c>
      <c r="E343" s="73">
        <v>186</v>
      </c>
      <c r="F343" s="73">
        <f t="shared" si="20"/>
        <v>2304</v>
      </c>
      <c r="G343" s="73">
        <f t="shared" si="21"/>
        <v>26090</v>
      </c>
    </row>
    <row r="344" spans="1:7" x14ac:dyDescent="0.2">
      <c r="A344" s="72">
        <v>341</v>
      </c>
      <c r="B344" s="74">
        <v>44260</v>
      </c>
      <c r="C344" s="73">
        <v>392</v>
      </c>
      <c r="D344" s="73">
        <f t="shared" si="19"/>
        <v>28786</v>
      </c>
      <c r="E344" s="73">
        <v>156</v>
      </c>
      <c r="F344" s="73">
        <f t="shared" si="20"/>
        <v>2540</v>
      </c>
      <c r="G344" s="73">
        <f t="shared" si="21"/>
        <v>26246</v>
      </c>
    </row>
    <row r="345" spans="1:7" x14ac:dyDescent="0.2">
      <c r="A345" s="72">
        <v>342</v>
      </c>
      <c r="B345" s="74">
        <v>44261</v>
      </c>
      <c r="C345" s="73">
        <v>71</v>
      </c>
      <c r="D345" s="73">
        <f t="shared" si="19"/>
        <v>28857</v>
      </c>
      <c r="E345" s="73">
        <v>287</v>
      </c>
      <c r="F345" s="73">
        <f t="shared" si="20"/>
        <v>2324</v>
      </c>
      <c r="G345" s="73">
        <f t="shared" si="21"/>
        <v>26533</v>
      </c>
    </row>
    <row r="346" spans="1:7" x14ac:dyDescent="0.2">
      <c r="A346" s="72">
        <v>343</v>
      </c>
      <c r="B346" s="74">
        <v>44262</v>
      </c>
      <c r="C346" s="73">
        <v>32</v>
      </c>
      <c r="D346" s="73">
        <f t="shared" si="19"/>
        <v>28889</v>
      </c>
      <c r="E346" s="73">
        <v>449</v>
      </c>
      <c r="F346" s="73">
        <f t="shared" si="20"/>
        <v>1907</v>
      </c>
      <c r="G346" s="73">
        <f t="shared" si="21"/>
        <v>26982</v>
      </c>
    </row>
    <row r="347" spans="1:7" x14ac:dyDescent="0.2">
      <c r="A347" s="72">
        <v>344</v>
      </c>
      <c r="B347" s="74">
        <v>44263</v>
      </c>
      <c r="C347" s="73">
        <v>730</v>
      </c>
      <c r="D347" s="73">
        <f t="shared" si="19"/>
        <v>29619</v>
      </c>
      <c r="E347" s="73">
        <v>315</v>
      </c>
      <c r="F347" s="73">
        <f t="shared" si="20"/>
        <v>2322</v>
      </c>
      <c r="G347" s="73">
        <f t="shared" si="21"/>
        <v>27297</v>
      </c>
    </row>
    <row r="348" spans="1:7" x14ac:dyDescent="0.2">
      <c r="A348" s="72">
        <v>345</v>
      </c>
      <c r="B348" s="74">
        <v>44264</v>
      </c>
      <c r="C348" s="73">
        <v>123</v>
      </c>
      <c r="D348" s="73">
        <f t="shared" si="19"/>
        <v>29742</v>
      </c>
      <c r="E348" s="73">
        <v>55</v>
      </c>
      <c r="F348" s="73">
        <f t="shared" si="20"/>
        <v>2390</v>
      </c>
      <c r="G348" s="73">
        <f t="shared" si="21"/>
        <v>27352</v>
      </c>
    </row>
    <row r="349" spans="1:7" x14ac:dyDescent="0.2">
      <c r="A349" s="72">
        <v>346</v>
      </c>
      <c r="B349" s="74">
        <v>44265</v>
      </c>
      <c r="C349" s="73">
        <v>213</v>
      </c>
      <c r="D349" s="73">
        <f t="shared" si="19"/>
        <v>29955</v>
      </c>
      <c r="E349" s="73">
        <v>286</v>
      </c>
      <c r="F349" s="73">
        <f t="shared" si="20"/>
        <v>2317</v>
      </c>
      <c r="G349" s="73">
        <f t="shared" si="21"/>
        <v>27638</v>
      </c>
    </row>
    <row r="350" spans="1:7" x14ac:dyDescent="0.2">
      <c r="A350" s="72">
        <v>347</v>
      </c>
      <c r="B350" s="74">
        <v>44266</v>
      </c>
      <c r="C350" s="73">
        <v>156</v>
      </c>
      <c r="D350" s="73">
        <f t="shared" si="19"/>
        <v>30111</v>
      </c>
      <c r="E350" s="73">
        <v>384</v>
      </c>
      <c r="F350" s="73">
        <f t="shared" si="20"/>
        <v>2089</v>
      </c>
      <c r="G350" s="73">
        <f t="shared" si="21"/>
        <v>28022</v>
      </c>
    </row>
    <row r="351" spans="1:7" x14ac:dyDescent="0.2">
      <c r="A351" s="72">
        <v>348</v>
      </c>
      <c r="B351" s="74">
        <v>44267</v>
      </c>
      <c r="C351" s="73">
        <v>240</v>
      </c>
      <c r="D351" s="73">
        <f t="shared" si="19"/>
        <v>30351</v>
      </c>
      <c r="E351" s="73">
        <v>155</v>
      </c>
      <c r="F351" s="73">
        <f t="shared" si="20"/>
        <v>2174</v>
      </c>
      <c r="G351" s="73">
        <f t="shared" si="21"/>
        <v>28177</v>
      </c>
    </row>
    <row r="352" spans="1:7" x14ac:dyDescent="0.2">
      <c r="A352" s="72">
        <v>349</v>
      </c>
      <c r="B352" s="74">
        <v>44268</v>
      </c>
      <c r="C352" s="73">
        <v>119</v>
      </c>
      <c r="D352" s="73">
        <f t="shared" si="19"/>
        <v>30470</v>
      </c>
      <c r="E352" s="73">
        <v>244</v>
      </c>
      <c r="F352" s="73">
        <f t="shared" si="20"/>
        <v>2049</v>
      </c>
      <c r="G352" s="73">
        <f t="shared" si="21"/>
        <v>28421</v>
      </c>
    </row>
    <row r="353" spans="1:7" x14ac:dyDescent="0.2">
      <c r="A353" s="72">
        <v>350</v>
      </c>
      <c r="B353" s="74">
        <v>44269</v>
      </c>
      <c r="C353" s="73">
        <v>0</v>
      </c>
      <c r="D353" s="73">
        <f t="shared" si="19"/>
        <v>30470</v>
      </c>
      <c r="E353" s="73">
        <v>8</v>
      </c>
      <c r="F353" s="73">
        <f t="shared" si="20"/>
        <v>2041</v>
      </c>
      <c r="G353" s="73">
        <f t="shared" si="21"/>
        <v>28429</v>
      </c>
    </row>
    <row r="354" spans="1:7" x14ac:dyDescent="0.2">
      <c r="A354" s="72">
        <v>351</v>
      </c>
      <c r="B354" s="74">
        <v>44270</v>
      </c>
      <c r="C354" s="73">
        <v>220</v>
      </c>
      <c r="D354" s="73">
        <f t="shared" si="19"/>
        <v>30690</v>
      </c>
      <c r="E354" s="73">
        <v>79</v>
      </c>
      <c r="F354" s="73">
        <f t="shared" si="20"/>
        <v>2182</v>
      </c>
      <c r="G354" s="73">
        <f t="shared" si="21"/>
        <v>28508</v>
      </c>
    </row>
    <row r="355" spans="1:7" x14ac:dyDescent="0.2">
      <c r="A355" s="72">
        <v>352</v>
      </c>
      <c r="B355" s="74">
        <v>44271</v>
      </c>
      <c r="C355" s="73">
        <v>163</v>
      </c>
      <c r="D355" s="73">
        <f t="shared" si="19"/>
        <v>30853</v>
      </c>
      <c r="E355" s="73">
        <v>130</v>
      </c>
      <c r="F355" s="73">
        <f t="shared" si="20"/>
        <v>2215</v>
      </c>
      <c r="G355" s="73">
        <f t="shared" si="21"/>
        <v>28638</v>
      </c>
    </row>
    <row r="356" spans="1:7" x14ac:dyDescent="0.2">
      <c r="A356" s="72">
        <v>353</v>
      </c>
      <c r="B356" s="74">
        <v>44272</v>
      </c>
      <c r="C356" s="73">
        <v>134</v>
      </c>
      <c r="D356" s="73">
        <f t="shared" si="19"/>
        <v>30987</v>
      </c>
      <c r="E356" s="73">
        <v>195</v>
      </c>
      <c r="F356" s="73">
        <f t="shared" si="20"/>
        <v>2154</v>
      </c>
      <c r="G356" s="73">
        <f t="shared" si="21"/>
        <v>28833</v>
      </c>
    </row>
    <row r="357" spans="1:7" x14ac:dyDescent="0.2">
      <c r="A357" s="72">
        <v>354</v>
      </c>
      <c r="B357" s="74">
        <v>44273</v>
      </c>
      <c r="C357" s="73">
        <v>311</v>
      </c>
      <c r="D357" s="73">
        <f t="shared" si="19"/>
        <v>31298</v>
      </c>
      <c r="E357" s="73">
        <v>351</v>
      </c>
      <c r="F357" s="73">
        <f t="shared" si="20"/>
        <v>2114</v>
      </c>
      <c r="G357" s="73">
        <f t="shared" si="21"/>
        <v>29184</v>
      </c>
    </row>
    <row r="358" spans="1:7" x14ac:dyDescent="0.2">
      <c r="A358" s="72">
        <v>355</v>
      </c>
      <c r="B358" s="74">
        <v>44274</v>
      </c>
      <c r="C358" s="73">
        <v>163</v>
      </c>
      <c r="D358" s="73">
        <f t="shared" si="19"/>
        <v>31461</v>
      </c>
      <c r="E358" s="73">
        <v>387</v>
      </c>
      <c r="F358" s="73">
        <f t="shared" si="20"/>
        <v>1890</v>
      </c>
      <c r="G358" s="73">
        <f t="shared" si="21"/>
        <v>29571</v>
      </c>
    </row>
    <row r="359" spans="1:7" x14ac:dyDescent="0.2">
      <c r="A359" s="72">
        <v>356</v>
      </c>
      <c r="B359" s="74">
        <v>44275</v>
      </c>
      <c r="C359" s="73">
        <v>313</v>
      </c>
      <c r="D359" s="73">
        <f t="shared" si="19"/>
        <v>31774</v>
      </c>
      <c r="E359" s="73">
        <v>487</v>
      </c>
      <c r="F359" s="73">
        <f t="shared" si="20"/>
        <v>1716</v>
      </c>
      <c r="G359" s="73">
        <f t="shared" si="21"/>
        <v>30058</v>
      </c>
    </row>
    <row r="360" spans="1:7" x14ac:dyDescent="0.2">
      <c r="A360" s="72">
        <v>357</v>
      </c>
      <c r="B360" s="74">
        <v>44276</v>
      </c>
      <c r="C360" s="73">
        <v>0</v>
      </c>
      <c r="D360" s="73">
        <f t="shared" si="19"/>
        <v>31774</v>
      </c>
      <c r="E360" s="73">
        <v>160</v>
      </c>
      <c r="F360" s="73">
        <f t="shared" si="20"/>
        <v>1556</v>
      </c>
      <c r="G360" s="73">
        <f t="shared" si="21"/>
        <v>30218</v>
      </c>
    </row>
    <row r="361" spans="1:7" x14ac:dyDescent="0.2">
      <c r="A361" s="72">
        <v>358</v>
      </c>
      <c r="B361" s="74">
        <v>44277</v>
      </c>
      <c r="C361" s="73">
        <v>81</v>
      </c>
      <c r="D361" s="73">
        <f t="shared" si="19"/>
        <v>31855</v>
      </c>
      <c r="E361" s="73">
        <v>660</v>
      </c>
      <c r="F361" s="73">
        <f t="shared" si="20"/>
        <v>977</v>
      </c>
      <c r="G361" s="73">
        <f t="shared" si="21"/>
        <v>30878</v>
      </c>
    </row>
    <row r="362" spans="1:7" x14ac:dyDescent="0.2">
      <c r="A362" s="72">
        <v>359</v>
      </c>
      <c r="B362" s="74">
        <v>44278</v>
      </c>
      <c r="C362" s="73">
        <v>165</v>
      </c>
      <c r="D362" s="73">
        <f t="shared" si="19"/>
        <v>32020</v>
      </c>
      <c r="E362" s="73">
        <v>122</v>
      </c>
      <c r="F362" s="73">
        <f t="shared" si="20"/>
        <v>1020</v>
      </c>
      <c r="G362" s="73">
        <f t="shared" si="21"/>
        <v>31000</v>
      </c>
    </row>
    <row r="363" spans="1:7" x14ac:dyDescent="0.2">
      <c r="A363" s="72">
        <v>360</v>
      </c>
      <c r="B363" s="74">
        <v>44279</v>
      </c>
      <c r="C363" s="73">
        <v>128</v>
      </c>
      <c r="D363" s="73">
        <f t="shared" si="19"/>
        <v>32148</v>
      </c>
      <c r="E363" s="73">
        <v>158</v>
      </c>
      <c r="F363" s="73">
        <f t="shared" si="20"/>
        <v>990</v>
      </c>
      <c r="G363" s="73">
        <f t="shared" si="21"/>
        <v>31158</v>
      </c>
    </row>
    <row r="364" spans="1:7" x14ac:dyDescent="0.2">
      <c r="A364" s="72">
        <v>361</v>
      </c>
      <c r="B364" s="74">
        <v>44280</v>
      </c>
      <c r="C364" s="73">
        <v>250</v>
      </c>
      <c r="D364" s="73">
        <f t="shared" si="19"/>
        <v>32398</v>
      </c>
      <c r="E364" s="73">
        <v>217</v>
      </c>
      <c r="F364" s="73">
        <f t="shared" si="20"/>
        <v>1023</v>
      </c>
      <c r="G364" s="73">
        <f t="shared" si="21"/>
        <v>31375</v>
      </c>
    </row>
    <row r="365" spans="1:7" x14ac:dyDescent="0.2">
      <c r="A365" s="72">
        <v>362</v>
      </c>
      <c r="B365" s="74">
        <v>44281</v>
      </c>
      <c r="C365" s="73">
        <v>117</v>
      </c>
      <c r="D365" s="73">
        <f t="shared" si="19"/>
        <v>32515</v>
      </c>
      <c r="E365" s="73">
        <v>224</v>
      </c>
      <c r="F365" s="73">
        <f t="shared" si="20"/>
        <v>916</v>
      </c>
      <c r="G365" s="73">
        <f t="shared" si="21"/>
        <v>31599</v>
      </c>
    </row>
    <row r="366" spans="1:7" x14ac:dyDescent="0.2">
      <c r="A366" s="72">
        <v>363</v>
      </c>
      <c r="B366" s="74">
        <v>44282</v>
      </c>
      <c r="C366" s="73">
        <v>96</v>
      </c>
      <c r="D366" s="73">
        <f t="shared" si="19"/>
        <v>32611</v>
      </c>
      <c r="E366" s="73">
        <v>71</v>
      </c>
      <c r="F366" s="73">
        <f t="shared" si="20"/>
        <v>941</v>
      </c>
      <c r="G366" s="73">
        <f t="shared" si="21"/>
        <v>31670</v>
      </c>
    </row>
    <row r="367" spans="1:7" x14ac:dyDescent="0.2">
      <c r="A367" s="72">
        <v>364</v>
      </c>
      <c r="B367" s="74">
        <v>44283</v>
      </c>
      <c r="C367" s="73">
        <v>3</v>
      </c>
      <c r="D367" s="73">
        <f t="shared" si="19"/>
        <v>32614</v>
      </c>
      <c r="E367" s="73">
        <v>29</v>
      </c>
      <c r="F367" s="73">
        <f t="shared" si="20"/>
        <v>915</v>
      </c>
      <c r="G367" s="73">
        <f t="shared" si="21"/>
        <v>31699</v>
      </c>
    </row>
    <row r="368" spans="1:7" x14ac:dyDescent="0.2">
      <c r="A368" s="72">
        <v>365</v>
      </c>
      <c r="B368" s="74">
        <v>44284</v>
      </c>
      <c r="C368" s="73">
        <v>89</v>
      </c>
      <c r="D368" s="73">
        <f t="shared" si="19"/>
        <v>32703</v>
      </c>
      <c r="E368" s="73">
        <v>209</v>
      </c>
      <c r="F368" s="73">
        <f t="shared" si="20"/>
        <v>795</v>
      </c>
      <c r="G368" s="73">
        <f t="shared" si="21"/>
        <v>31908</v>
      </c>
    </row>
    <row r="369" spans="1:7" x14ac:dyDescent="0.2">
      <c r="A369" s="72">
        <v>366</v>
      </c>
      <c r="B369" s="74">
        <v>44285</v>
      </c>
      <c r="C369" s="73">
        <v>134</v>
      </c>
      <c r="D369" s="73">
        <f t="shared" si="19"/>
        <v>32837</v>
      </c>
      <c r="E369" s="73">
        <v>211</v>
      </c>
      <c r="F369" s="73">
        <f t="shared" si="20"/>
        <v>718</v>
      </c>
      <c r="G369" s="73">
        <f t="shared" si="21"/>
        <v>32119</v>
      </c>
    </row>
    <row r="370" spans="1:7" x14ac:dyDescent="0.2">
      <c r="A370" s="72">
        <v>367</v>
      </c>
      <c r="B370" s="74">
        <v>44286</v>
      </c>
      <c r="C370" s="73">
        <v>176</v>
      </c>
      <c r="D370" s="73">
        <f t="shared" si="19"/>
        <v>33013</v>
      </c>
      <c r="E370" s="73">
        <v>95</v>
      </c>
      <c r="F370" s="73">
        <f t="shared" si="20"/>
        <v>799</v>
      </c>
      <c r="G370" s="73">
        <f t="shared" si="21"/>
        <v>32214</v>
      </c>
    </row>
    <row r="371" spans="1:7" x14ac:dyDescent="0.2">
      <c r="A371" s="72">
        <v>368</v>
      </c>
      <c r="B371" s="74">
        <v>44287</v>
      </c>
      <c r="C371" s="73">
        <v>25</v>
      </c>
      <c r="D371" s="73">
        <f t="shared" si="19"/>
        <v>33038</v>
      </c>
      <c r="E371" s="73">
        <v>354</v>
      </c>
      <c r="F371" s="73">
        <f t="shared" si="20"/>
        <v>470</v>
      </c>
      <c r="G371" s="73">
        <f t="shared" si="21"/>
        <v>32568</v>
      </c>
    </row>
    <row r="372" spans="1:7" x14ac:dyDescent="0.2">
      <c r="A372" s="72">
        <v>369</v>
      </c>
      <c r="B372" s="74">
        <v>44288</v>
      </c>
      <c r="C372" s="73">
        <v>6</v>
      </c>
      <c r="D372" s="73">
        <f t="shared" si="19"/>
        <v>33044</v>
      </c>
      <c r="E372" s="73">
        <v>162</v>
      </c>
      <c r="F372" s="73">
        <f t="shared" si="20"/>
        <v>314</v>
      </c>
      <c r="G372" s="73">
        <f t="shared" si="21"/>
        <v>32730</v>
      </c>
    </row>
    <row r="373" spans="1:7" x14ac:dyDescent="0.2">
      <c r="A373" s="72">
        <v>370</v>
      </c>
      <c r="B373" s="74">
        <v>44289</v>
      </c>
      <c r="C373" s="73">
        <v>31</v>
      </c>
      <c r="D373" s="73">
        <f t="shared" si="19"/>
        <v>33075</v>
      </c>
      <c r="E373" s="73">
        <v>244</v>
      </c>
      <c r="F373" s="73">
        <f t="shared" si="20"/>
        <v>101</v>
      </c>
      <c r="G373" s="73">
        <f t="shared" si="21"/>
        <v>32974</v>
      </c>
    </row>
    <row r="374" spans="1:7" x14ac:dyDescent="0.2">
      <c r="A374" s="72">
        <v>371</v>
      </c>
      <c r="B374" s="74">
        <v>44290</v>
      </c>
      <c r="C374" s="73">
        <v>20</v>
      </c>
      <c r="D374" s="73">
        <f t="shared" si="19"/>
        <v>33095</v>
      </c>
      <c r="E374" s="73">
        <v>53</v>
      </c>
      <c r="F374" s="73">
        <f t="shared" si="20"/>
        <v>68</v>
      </c>
      <c r="G374" s="73">
        <f t="shared" si="21"/>
        <v>33027</v>
      </c>
    </row>
    <row r="375" spans="1:7" x14ac:dyDescent="0.2">
      <c r="A375" s="72">
        <v>372</v>
      </c>
      <c r="B375" s="74">
        <v>44291</v>
      </c>
      <c r="C375" s="73">
        <v>89</v>
      </c>
      <c r="D375" s="73">
        <f t="shared" si="19"/>
        <v>33184</v>
      </c>
      <c r="E375" s="73">
        <v>0</v>
      </c>
      <c r="F375" s="73">
        <f t="shared" si="20"/>
        <v>157</v>
      </c>
      <c r="G375" s="73">
        <f t="shared" si="21"/>
        <v>33027</v>
      </c>
    </row>
    <row r="376" spans="1:7" x14ac:dyDescent="0.2">
      <c r="A376" s="72">
        <v>373</v>
      </c>
      <c r="B376" s="74">
        <v>44292</v>
      </c>
      <c r="C376" s="73">
        <v>92</v>
      </c>
      <c r="D376" s="73">
        <f t="shared" si="19"/>
        <v>33276</v>
      </c>
      <c r="E376" s="73">
        <v>97</v>
      </c>
      <c r="F376" s="73">
        <f t="shared" si="20"/>
        <v>152</v>
      </c>
      <c r="G376" s="73">
        <f t="shared" si="21"/>
        <v>33124</v>
      </c>
    </row>
    <row r="377" spans="1:7" x14ac:dyDescent="0.2">
      <c r="A377" s="72">
        <v>374</v>
      </c>
      <c r="B377" s="74">
        <v>44293</v>
      </c>
      <c r="C377" s="73">
        <v>248</v>
      </c>
      <c r="D377" s="73">
        <f t="shared" si="19"/>
        <v>33524</v>
      </c>
      <c r="E377" s="73">
        <v>151</v>
      </c>
      <c r="F377" s="73">
        <f t="shared" si="20"/>
        <v>249</v>
      </c>
      <c r="G377" s="73">
        <f t="shared" si="21"/>
        <v>33275</v>
      </c>
    </row>
    <row r="378" spans="1:7" x14ac:dyDescent="0.2">
      <c r="A378" s="72">
        <v>375</v>
      </c>
      <c r="B378" s="74">
        <v>44294</v>
      </c>
      <c r="C378" s="73">
        <v>37</v>
      </c>
      <c r="D378" s="73">
        <f t="shared" si="19"/>
        <v>33561</v>
      </c>
      <c r="E378" s="73">
        <v>245</v>
      </c>
      <c r="F378" s="73">
        <f t="shared" si="20"/>
        <v>41</v>
      </c>
      <c r="G378" s="73">
        <f t="shared" si="21"/>
        <v>33520</v>
      </c>
    </row>
    <row r="379" spans="1:7" x14ac:dyDescent="0.2">
      <c r="A379" s="72">
        <v>376</v>
      </c>
      <c r="B379" s="74">
        <v>44295</v>
      </c>
      <c r="C379" s="73">
        <v>50</v>
      </c>
      <c r="D379" s="73">
        <f t="shared" si="19"/>
        <v>33611</v>
      </c>
      <c r="E379" s="73">
        <v>6</v>
      </c>
      <c r="F379" s="73">
        <f t="shared" si="20"/>
        <v>85</v>
      </c>
      <c r="G379" s="73">
        <f t="shared" si="21"/>
        <v>33526</v>
      </c>
    </row>
    <row r="380" spans="1:7" x14ac:dyDescent="0.2">
      <c r="A380" s="72">
        <v>377</v>
      </c>
      <c r="B380" s="74">
        <v>44296</v>
      </c>
      <c r="C380" s="73">
        <v>84</v>
      </c>
      <c r="D380" s="73">
        <f t="shared" si="19"/>
        <v>33695</v>
      </c>
      <c r="E380" s="73">
        <v>95</v>
      </c>
      <c r="F380" s="73">
        <f t="shared" si="20"/>
        <v>74</v>
      </c>
      <c r="G380" s="73">
        <f t="shared" si="21"/>
        <v>33621</v>
      </c>
    </row>
    <row r="381" spans="1:7" x14ac:dyDescent="0.2">
      <c r="A381" s="72">
        <v>378</v>
      </c>
      <c r="B381" s="74">
        <v>44297</v>
      </c>
      <c r="C381" s="73">
        <v>35</v>
      </c>
      <c r="D381" s="73">
        <f t="shared" si="19"/>
        <v>33730</v>
      </c>
      <c r="E381" s="73">
        <v>26</v>
      </c>
      <c r="F381" s="73">
        <f t="shared" si="20"/>
        <v>83</v>
      </c>
      <c r="G381" s="73">
        <f t="shared" si="21"/>
        <v>33647</v>
      </c>
    </row>
    <row r="382" spans="1:7" x14ac:dyDescent="0.2">
      <c r="A382" s="72">
        <v>379</v>
      </c>
      <c r="B382" s="74">
        <v>44298</v>
      </c>
      <c r="C382" s="73">
        <v>96</v>
      </c>
      <c r="D382" s="73">
        <f t="shared" si="19"/>
        <v>33826</v>
      </c>
      <c r="E382" s="73">
        <v>108</v>
      </c>
      <c r="F382" s="73">
        <f t="shared" si="20"/>
        <v>71</v>
      </c>
      <c r="G382" s="73">
        <f t="shared" si="21"/>
        <v>33755</v>
      </c>
    </row>
    <row r="383" spans="1:7" x14ac:dyDescent="0.2">
      <c r="A383" s="72">
        <v>380</v>
      </c>
      <c r="B383" s="74">
        <v>44299</v>
      </c>
      <c r="C383" s="73">
        <v>77</v>
      </c>
      <c r="D383" s="73">
        <f t="shared" si="19"/>
        <v>33903</v>
      </c>
      <c r="E383" s="73">
        <v>131</v>
      </c>
      <c r="F383" s="73">
        <f t="shared" si="20"/>
        <v>17</v>
      </c>
      <c r="G383" s="73">
        <f t="shared" si="21"/>
        <v>33886</v>
      </c>
    </row>
    <row r="384" spans="1:7" x14ac:dyDescent="0.2">
      <c r="A384" s="72">
        <v>381</v>
      </c>
      <c r="B384" s="74">
        <v>44300</v>
      </c>
      <c r="C384" s="73">
        <v>84</v>
      </c>
      <c r="D384" s="73">
        <f t="shared" si="19"/>
        <v>33987</v>
      </c>
      <c r="E384" s="73">
        <v>40</v>
      </c>
      <c r="F384" s="73">
        <f t="shared" si="20"/>
        <v>61</v>
      </c>
      <c r="G384" s="73">
        <f t="shared" si="21"/>
        <v>33926</v>
      </c>
    </row>
    <row r="385" spans="1:7" x14ac:dyDescent="0.2">
      <c r="A385" s="72">
        <v>382</v>
      </c>
      <c r="B385" s="74">
        <v>44301</v>
      </c>
      <c r="C385" s="73">
        <v>96</v>
      </c>
      <c r="D385" s="73">
        <f t="shared" si="19"/>
        <v>34083</v>
      </c>
      <c r="E385" s="73">
        <v>28</v>
      </c>
      <c r="F385" s="73">
        <f t="shared" si="20"/>
        <v>129</v>
      </c>
      <c r="G385" s="73">
        <f t="shared" si="21"/>
        <v>33954</v>
      </c>
    </row>
    <row r="386" spans="1:7" x14ac:dyDescent="0.2">
      <c r="A386" s="72">
        <v>383</v>
      </c>
      <c r="B386" s="74">
        <v>44302</v>
      </c>
      <c r="C386" s="73">
        <v>83</v>
      </c>
      <c r="D386" s="73">
        <f t="shared" si="19"/>
        <v>34166</v>
      </c>
      <c r="E386" s="73">
        <v>0</v>
      </c>
      <c r="F386" s="73">
        <f t="shared" si="20"/>
        <v>212</v>
      </c>
      <c r="G386" s="73">
        <f t="shared" si="21"/>
        <v>33954</v>
      </c>
    </row>
    <row r="387" spans="1:7" x14ac:dyDescent="0.2">
      <c r="A387" s="72">
        <v>384</v>
      </c>
      <c r="B387" s="74">
        <v>44303</v>
      </c>
      <c r="C387" s="73">
        <v>99</v>
      </c>
      <c r="D387" s="73">
        <f t="shared" si="19"/>
        <v>34265</v>
      </c>
      <c r="E387" s="73">
        <v>48</v>
      </c>
      <c r="F387" s="73">
        <f t="shared" si="20"/>
        <v>263</v>
      </c>
      <c r="G387" s="73">
        <f t="shared" si="21"/>
        <v>34002</v>
      </c>
    </row>
    <row r="388" spans="1:7" x14ac:dyDescent="0.2">
      <c r="A388" s="72">
        <v>385</v>
      </c>
      <c r="B388" s="74">
        <v>44304</v>
      </c>
      <c r="C388" s="73">
        <v>20</v>
      </c>
      <c r="D388" s="73">
        <f t="shared" si="19"/>
        <v>34285</v>
      </c>
      <c r="E388" s="73">
        <v>3</v>
      </c>
      <c r="F388" s="73">
        <f t="shared" si="20"/>
        <v>280</v>
      </c>
      <c r="G388" s="73">
        <f t="shared" si="21"/>
        <v>34005</v>
      </c>
    </row>
    <row r="389" spans="1:7" x14ac:dyDescent="0.2">
      <c r="A389" s="72">
        <v>386</v>
      </c>
      <c r="B389" s="74">
        <v>44305</v>
      </c>
      <c r="C389" s="73">
        <v>95</v>
      </c>
      <c r="D389" s="73">
        <f t="shared" si="19"/>
        <v>34380</v>
      </c>
      <c r="E389" s="73">
        <v>91</v>
      </c>
      <c r="F389" s="73">
        <f t="shared" si="20"/>
        <v>284</v>
      </c>
      <c r="G389" s="73">
        <f t="shared" si="21"/>
        <v>34096</v>
      </c>
    </row>
    <row r="390" spans="1:7" x14ac:dyDescent="0.2">
      <c r="A390" s="72">
        <v>387</v>
      </c>
      <c r="B390" s="74">
        <v>44306</v>
      </c>
      <c r="C390" s="73">
        <v>245</v>
      </c>
      <c r="D390" s="73">
        <f t="shared" si="19"/>
        <v>34625</v>
      </c>
      <c r="E390" s="73">
        <v>108</v>
      </c>
      <c r="F390" s="73">
        <f t="shared" si="20"/>
        <v>421</v>
      </c>
      <c r="G390" s="73">
        <f t="shared" si="21"/>
        <v>34204</v>
      </c>
    </row>
    <row r="391" spans="1:7" x14ac:dyDescent="0.2">
      <c r="A391" s="72">
        <v>388</v>
      </c>
      <c r="B391" s="74">
        <v>44307</v>
      </c>
      <c r="C391" s="73">
        <v>129</v>
      </c>
      <c r="D391" s="73">
        <f t="shared" si="19"/>
        <v>34754</v>
      </c>
      <c r="E391" s="73">
        <v>249</v>
      </c>
      <c r="F391" s="73">
        <f t="shared" si="20"/>
        <v>301</v>
      </c>
      <c r="G391" s="73">
        <f t="shared" si="21"/>
        <v>34453</v>
      </c>
    </row>
    <row r="392" spans="1:7" x14ac:dyDescent="0.2">
      <c r="A392" s="72">
        <v>389</v>
      </c>
      <c r="B392" s="74">
        <v>44308</v>
      </c>
      <c r="C392" s="73">
        <v>178</v>
      </c>
      <c r="D392" s="73">
        <f t="shared" si="19"/>
        <v>34932</v>
      </c>
      <c r="E392" s="73">
        <v>63</v>
      </c>
      <c r="F392" s="73">
        <f t="shared" si="20"/>
        <v>416</v>
      </c>
      <c r="G392" s="73">
        <f t="shared" si="21"/>
        <v>34516</v>
      </c>
    </row>
    <row r="393" spans="1:7" x14ac:dyDescent="0.2">
      <c r="A393" s="72">
        <v>390</v>
      </c>
      <c r="B393" s="74">
        <v>44309</v>
      </c>
      <c r="C393" s="73">
        <v>74</v>
      </c>
      <c r="D393" s="73">
        <f t="shared" si="19"/>
        <v>35006</v>
      </c>
      <c r="E393" s="73">
        <v>5</v>
      </c>
      <c r="F393" s="73">
        <f t="shared" si="20"/>
        <v>485</v>
      </c>
      <c r="G393" s="73">
        <f t="shared" si="21"/>
        <v>34521</v>
      </c>
    </row>
    <row r="394" spans="1:7" x14ac:dyDescent="0.2">
      <c r="A394" s="72">
        <v>391</v>
      </c>
      <c r="B394" s="74">
        <v>44310</v>
      </c>
      <c r="C394" s="73">
        <v>10</v>
      </c>
      <c r="D394" s="73">
        <f t="shared" si="19"/>
        <v>35016</v>
      </c>
      <c r="E394" s="73">
        <v>89</v>
      </c>
      <c r="F394" s="73">
        <f t="shared" si="20"/>
        <v>406</v>
      </c>
      <c r="G394" s="73">
        <f t="shared" si="21"/>
        <v>34610</v>
      </c>
    </row>
    <row r="395" spans="1:7" x14ac:dyDescent="0.2">
      <c r="A395" s="72">
        <v>392</v>
      </c>
      <c r="B395" s="74">
        <v>44311</v>
      </c>
      <c r="C395" s="73">
        <v>54</v>
      </c>
      <c r="D395" s="73">
        <f t="shared" si="19"/>
        <v>35070</v>
      </c>
      <c r="E395" s="73">
        <v>39</v>
      </c>
      <c r="F395" s="73">
        <f t="shared" si="20"/>
        <v>421</v>
      </c>
      <c r="G395" s="73">
        <f t="shared" si="21"/>
        <v>34649</v>
      </c>
    </row>
    <row r="396" spans="1:7" x14ac:dyDescent="0.2">
      <c r="A396" s="72">
        <v>393</v>
      </c>
      <c r="B396" s="74">
        <v>44312</v>
      </c>
      <c r="C396" s="73">
        <v>76</v>
      </c>
      <c r="D396" s="73">
        <f t="shared" si="19"/>
        <v>35146</v>
      </c>
      <c r="E396" s="73">
        <v>103</v>
      </c>
      <c r="F396" s="73">
        <f t="shared" si="20"/>
        <v>394</v>
      </c>
      <c r="G396" s="73">
        <f t="shared" si="21"/>
        <v>34752</v>
      </c>
    </row>
    <row r="397" spans="1:7" x14ac:dyDescent="0.2">
      <c r="A397" s="72">
        <v>394</v>
      </c>
      <c r="B397" s="74">
        <v>44313</v>
      </c>
      <c r="C397" s="73">
        <v>40</v>
      </c>
      <c r="D397" s="73">
        <f t="shared" si="19"/>
        <v>35186</v>
      </c>
      <c r="E397" s="73">
        <v>86</v>
      </c>
      <c r="F397" s="73">
        <f t="shared" si="20"/>
        <v>348</v>
      </c>
      <c r="G397" s="73">
        <f t="shared" si="21"/>
        <v>34838</v>
      </c>
    </row>
    <row r="398" spans="1:7" x14ac:dyDescent="0.2">
      <c r="A398" s="72">
        <v>395</v>
      </c>
      <c r="B398" s="74">
        <v>44314</v>
      </c>
      <c r="C398" s="73">
        <v>0</v>
      </c>
      <c r="D398" s="73">
        <f t="shared" si="19"/>
        <v>35186</v>
      </c>
      <c r="E398" s="73">
        <v>59</v>
      </c>
      <c r="F398" s="73">
        <f t="shared" si="20"/>
        <v>289</v>
      </c>
      <c r="G398" s="73">
        <f t="shared" si="21"/>
        <v>34897</v>
      </c>
    </row>
    <row r="399" spans="1:7" x14ac:dyDescent="0.2">
      <c r="A399" s="72">
        <v>396</v>
      </c>
      <c r="B399" s="74">
        <v>44315</v>
      </c>
      <c r="C399" s="73">
        <v>41</v>
      </c>
      <c r="D399" s="73">
        <f t="shared" si="19"/>
        <v>35227</v>
      </c>
      <c r="E399" s="73">
        <v>96</v>
      </c>
      <c r="F399" s="73">
        <f t="shared" si="20"/>
        <v>234</v>
      </c>
      <c r="G399" s="73">
        <f t="shared" si="21"/>
        <v>34993</v>
      </c>
    </row>
    <row r="400" spans="1:7" x14ac:dyDescent="0.2">
      <c r="A400" s="72">
        <v>397</v>
      </c>
      <c r="B400" s="74">
        <v>44316</v>
      </c>
      <c r="C400" s="73">
        <v>57</v>
      </c>
      <c r="D400" s="73">
        <f t="shared" si="19"/>
        <v>35284</v>
      </c>
      <c r="E400" s="73">
        <v>92</v>
      </c>
      <c r="F400" s="73">
        <f t="shared" si="20"/>
        <v>199</v>
      </c>
      <c r="G400" s="73">
        <f t="shared" si="21"/>
        <v>35085</v>
      </c>
    </row>
    <row r="401" spans="1:7" x14ac:dyDescent="0.2">
      <c r="A401" s="72">
        <v>398</v>
      </c>
      <c r="B401" s="74">
        <v>44317</v>
      </c>
      <c r="C401" s="73">
        <v>85</v>
      </c>
      <c r="D401" s="73">
        <f t="shared" si="19"/>
        <v>35369</v>
      </c>
      <c r="E401" s="73">
        <v>110</v>
      </c>
      <c r="F401" s="73">
        <f t="shared" si="20"/>
        <v>174</v>
      </c>
      <c r="G401" s="73">
        <f t="shared" si="21"/>
        <v>35195</v>
      </c>
    </row>
    <row r="402" spans="1:7" x14ac:dyDescent="0.2">
      <c r="A402" s="72">
        <v>399</v>
      </c>
      <c r="B402" s="74">
        <v>44318</v>
      </c>
      <c r="C402" s="73">
        <v>3</v>
      </c>
      <c r="D402" s="73">
        <f t="shared" si="19"/>
        <v>35372</v>
      </c>
      <c r="E402" s="73">
        <v>90</v>
      </c>
      <c r="F402" s="73">
        <f t="shared" si="20"/>
        <v>87</v>
      </c>
      <c r="G402" s="73">
        <f t="shared" si="21"/>
        <v>35285</v>
      </c>
    </row>
    <row r="403" spans="1:7" x14ac:dyDescent="0.2">
      <c r="A403" s="72">
        <v>400</v>
      </c>
      <c r="B403" s="74">
        <v>44319</v>
      </c>
      <c r="C403" s="73">
        <v>19</v>
      </c>
      <c r="D403" s="73">
        <f t="shared" ref="D403:D466" si="22">D402+C403</f>
        <v>35391</v>
      </c>
      <c r="E403" s="73">
        <v>49</v>
      </c>
      <c r="F403" s="73">
        <f t="shared" ref="F403:F466" si="23">F402+C403-E403</f>
        <v>57</v>
      </c>
      <c r="G403" s="73">
        <f t="shared" ref="G403:G466" si="24">G402+E403</f>
        <v>35334</v>
      </c>
    </row>
    <row r="404" spans="1:7" x14ac:dyDescent="0.2">
      <c r="A404" s="72">
        <v>401</v>
      </c>
      <c r="B404" s="74">
        <v>44320</v>
      </c>
      <c r="C404" s="73">
        <v>12</v>
      </c>
      <c r="D404" s="73">
        <f t="shared" si="22"/>
        <v>35403</v>
      </c>
      <c r="E404" s="73">
        <v>36</v>
      </c>
      <c r="F404" s="73">
        <f t="shared" si="23"/>
        <v>33</v>
      </c>
      <c r="G404" s="73">
        <f t="shared" si="24"/>
        <v>35370</v>
      </c>
    </row>
    <row r="405" spans="1:7" x14ac:dyDescent="0.2">
      <c r="A405" s="72">
        <v>402</v>
      </c>
      <c r="B405" s="74">
        <v>44321</v>
      </c>
      <c r="C405" s="73">
        <v>54</v>
      </c>
      <c r="D405" s="73">
        <f t="shared" si="22"/>
        <v>35457</v>
      </c>
      <c r="E405" s="73">
        <v>6</v>
      </c>
      <c r="F405" s="73">
        <f t="shared" si="23"/>
        <v>81</v>
      </c>
      <c r="G405" s="73">
        <f t="shared" si="24"/>
        <v>35376</v>
      </c>
    </row>
    <row r="406" spans="1:7" x14ac:dyDescent="0.2">
      <c r="A406" s="72">
        <v>403</v>
      </c>
      <c r="B406" s="74">
        <v>44322</v>
      </c>
      <c r="C406" s="73">
        <v>71</v>
      </c>
      <c r="D406" s="73">
        <f t="shared" si="22"/>
        <v>35528</v>
      </c>
      <c r="E406" s="73">
        <v>75</v>
      </c>
      <c r="F406" s="73">
        <f t="shared" si="23"/>
        <v>77</v>
      </c>
      <c r="G406" s="73">
        <f t="shared" si="24"/>
        <v>35451</v>
      </c>
    </row>
    <row r="407" spans="1:7" x14ac:dyDescent="0.2">
      <c r="A407" s="72">
        <v>404</v>
      </c>
      <c r="B407" s="74">
        <v>44323</v>
      </c>
      <c r="C407" s="73">
        <v>46</v>
      </c>
      <c r="D407" s="73">
        <f t="shared" si="22"/>
        <v>35574</v>
      </c>
      <c r="E407" s="73">
        <v>89</v>
      </c>
      <c r="F407" s="73">
        <f t="shared" si="23"/>
        <v>34</v>
      </c>
      <c r="G407" s="73">
        <f t="shared" si="24"/>
        <v>35540</v>
      </c>
    </row>
    <row r="408" spans="1:7" x14ac:dyDescent="0.2">
      <c r="A408" s="72">
        <v>405</v>
      </c>
      <c r="B408" s="74">
        <v>44324</v>
      </c>
      <c r="C408" s="73">
        <v>50</v>
      </c>
      <c r="D408" s="73">
        <f t="shared" si="22"/>
        <v>35624</v>
      </c>
      <c r="E408" s="73">
        <v>18</v>
      </c>
      <c r="F408" s="73">
        <f t="shared" si="23"/>
        <v>66</v>
      </c>
      <c r="G408" s="73">
        <f t="shared" si="24"/>
        <v>35558</v>
      </c>
    </row>
    <row r="409" spans="1:7" x14ac:dyDescent="0.2">
      <c r="A409" s="72">
        <v>406</v>
      </c>
      <c r="B409" s="74">
        <v>44325</v>
      </c>
      <c r="C409" s="73">
        <v>96</v>
      </c>
      <c r="D409" s="73">
        <f t="shared" si="22"/>
        <v>35720</v>
      </c>
      <c r="E409" s="73">
        <v>40</v>
      </c>
      <c r="F409" s="73">
        <f t="shared" si="23"/>
        <v>122</v>
      </c>
      <c r="G409" s="73">
        <f t="shared" si="24"/>
        <v>35598</v>
      </c>
    </row>
    <row r="410" spans="1:7" x14ac:dyDescent="0.2">
      <c r="A410" s="72">
        <v>407</v>
      </c>
      <c r="B410" s="74">
        <v>44326</v>
      </c>
      <c r="C410" s="73">
        <v>74</v>
      </c>
      <c r="D410" s="73">
        <f t="shared" si="22"/>
        <v>35794</v>
      </c>
      <c r="E410" s="73">
        <v>97</v>
      </c>
      <c r="F410" s="73">
        <f t="shared" si="23"/>
        <v>99</v>
      </c>
      <c r="G410" s="73">
        <f t="shared" si="24"/>
        <v>35695</v>
      </c>
    </row>
    <row r="411" spans="1:7" x14ac:dyDescent="0.2">
      <c r="A411" s="72">
        <v>408</v>
      </c>
      <c r="B411" s="74">
        <v>44327</v>
      </c>
      <c r="C411" s="73">
        <v>115</v>
      </c>
      <c r="D411" s="73">
        <f t="shared" si="22"/>
        <v>35909</v>
      </c>
      <c r="E411" s="73">
        <v>2</v>
      </c>
      <c r="F411" s="73">
        <f t="shared" si="23"/>
        <v>212</v>
      </c>
      <c r="G411" s="73">
        <f t="shared" si="24"/>
        <v>35697</v>
      </c>
    </row>
    <row r="412" spans="1:7" x14ac:dyDescent="0.2">
      <c r="A412" s="72">
        <v>409</v>
      </c>
      <c r="B412" s="74">
        <v>44328</v>
      </c>
      <c r="C412" s="73">
        <v>84</v>
      </c>
      <c r="D412" s="73">
        <f t="shared" si="22"/>
        <v>35993</v>
      </c>
      <c r="E412" s="73">
        <v>102</v>
      </c>
      <c r="F412" s="73">
        <f t="shared" si="23"/>
        <v>194</v>
      </c>
      <c r="G412" s="73">
        <f t="shared" si="24"/>
        <v>35799</v>
      </c>
    </row>
    <row r="413" spans="1:7" x14ac:dyDescent="0.2">
      <c r="A413" s="72">
        <v>410</v>
      </c>
      <c r="B413" s="74">
        <v>44329</v>
      </c>
      <c r="C413" s="73">
        <v>0</v>
      </c>
      <c r="D413" s="73">
        <f t="shared" si="22"/>
        <v>35993</v>
      </c>
      <c r="E413" s="73">
        <v>50</v>
      </c>
      <c r="F413" s="73">
        <f t="shared" si="23"/>
        <v>144</v>
      </c>
      <c r="G413" s="73">
        <f t="shared" si="24"/>
        <v>35849</v>
      </c>
    </row>
    <row r="414" spans="1:7" x14ac:dyDescent="0.2">
      <c r="A414" s="72">
        <v>411</v>
      </c>
      <c r="B414" s="74">
        <v>44330</v>
      </c>
      <c r="C414" s="73">
        <v>49</v>
      </c>
      <c r="D414" s="73">
        <f t="shared" si="22"/>
        <v>36042</v>
      </c>
      <c r="E414" s="73">
        <v>129</v>
      </c>
      <c r="F414" s="73">
        <f t="shared" si="23"/>
        <v>64</v>
      </c>
      <c r="G414" s="73">
        <f t="shared" si="24"/>
        <v>35978</v>
      </c>
    </row>
    <row r="415" spans="1:7" x14ac:dyDescent="0.2">
      <c r="A415" s="72">
        <v>412</v>
      </c>
      <c r="B415" s="74">
        <v>44331</v>
      </c>
      <c r="C415" s="73">
        <v>130</v>
      </c>
      <c r="D415" s="73">
        <f t="shared" si="22"/>
        <v>36172</v>
      </c>
      <c r="E415" s="73">
        <v>3</v>
      </c>
      <c r="F415" s="73">
        <f t="shared" si="23"/>
        <v>191</v>
      </c>
      <c r="G415" s="73">
        <f t="shared" si="24"/>
        <v>35981</v>
      </c>
    </row>
    <row r="416" spans="1:7" x14ac:dyDescent="0.2">
      <c r="A416" s="72">
        <v>413</v>
      </c>
      <c r="B416" s="74">
        <v>44332</v>
      </c>
      <c r="C416" s="73">
        <v>24</v>
      </c>
      <c r="D416" s="73">
        <f t="shared" si="22"/>
        <v>36196</v>
      </c>
      <c r="E416" s="73">
        <v>1</v>
      </c>
      <c r="F416" s="73">
        <f t="shared" si="23"/>
        <v>214</v>
      </c>
      <c r="G416" s="73">
        <f t="shared" si="24"/>
        <v>35982</v>
      </c>
    </row>
    <row r="417" spans="1:7" x14ac:dyDescent="0.2">
      <c r="A417" s="72">
        <v>414</v>
      </c>
      <c r="B417" s="74">
        <v>44333</v>
      </c>
      <c r="C417" s="73">
        <v>97</v>
      </c>
      <c r="D417" s="73">
        <f t="shared" si="22"/>
        <v>36293</v>
      </c>
      <c r="E417" s="73">
        <v>119</v>
      </c>
      <c r="F417" s="73">
        <f t="shared" si="23"/>
        <v>192</v>
      </c>
      <c r="G417" s="73">
        <f t="shared" si="24"/>
        <v>36101</v>
      </c>
    </row>
    <row r="418" spans="1:7" x14ac:dyDescent="0.2">
      <c r="A418" s="72">
        <v>415</v>
      </c>
      <c r="B418" s="74">
        <v>44334</v>
      </c>
      <c r="C418" s="73">
        <v>153</v>
      </c>
      <c r="D418" s="73">
        <f t="shared" si="22"/>
        <v>36446</v>
      </c>
      <c r="E418" s="73">
        <v>219</v>
      </c>
      <c r="F418" s="73">
        <f t="shared" si="23"/>
        <v>126</v>
      </c>
      <c r="G418" s="73">
        <f t="shared" si="24"/>
        <v>36320</v>
      </c>
    </row>
    <row r="419" spans="1:7" x14ac:dyDescent="0.2">
      <c r="A419" s="72">
        <v>416</v>
      </c>
      <c r="B419" s="74">
        <v>44335</v>
      </c>
      <c r="C419" s="73">
        <v>60</v>
      </c>
      <c r="D419" s="73">
        <f t="shared" si="22"/>
        <v>36506</v>
      </c>
      <c r="E419" s="73">
        <v>65</v>
      </c>
      <c r="F419" s="73">
        <f t="shared" si="23"/>
        <v>121</v>
      </c>
      <c r="G419" s="73">
        <f t="shared" si="24"/>
        <v>36385</v>
      </c>
    </row>
    <row r="420" spans="1:7" x14ac:dyDescent="0.2">
      <c r="A420" s="72">
        <v>417</v>
      </c>
      <c r="B420" s="74">
        <v>44336</v>
      </c>
      <c r="C420" s="73">
        <v>70</v>
      </c>
      <c r="D420" s="73">
        <f t="shared" si="22"/>
        <v>36576</v>
      </c>
      <c r="E420" s="73">
        <v>62</v>
      </c>
      <c r="F420" s="73">
        <f t="shared" si="23"/>
        <v>129</v>
      </c>
      <c r="G420" s="73">
        <f t="shared" si="24"/>
        <v>36447</v>
      </c>
    </row>
    <row r="421" spans="1:7" x14ac:dyDescent="0.2">
      <c r="A421" s="72">
        <v>418</v>
      </c>
      <c r="B421" s="74">
        <v>44337</v>
      </c>
      <c r="C421" s="73">
        <v>99</v>
      </c>
      <c r="D421" s="73">
        <f t="shared" si="22"/>
        <v>36675</v>
      </c>
      <c r="E421" s="73">
        <v>41</v>
      </c>
      <c r="F421" s="73">
        <f t="shared" si="23"/>
        <v>187</v>
      </c>
      <c r="G421" s="73">
        <f t="shared" si="24"/>
        <v>36488</v>
      </c>
    </row>
    <row r="422" spans="1:7" x14ac:dyDescent="0.2">
      <c r="A422" s="72">
        <v>419</v>
      </c>
      <c r="B422" s="74">
        <v>44338</v>
      </c>
      <c r="C422" s="73">
        <v>81</v>
      </c>
      <c r="D422" s="73">
        <f t="shared" si="22"/>
        <v>36756</v>
      </c>
      <c r="E422" s="73">
        <v>106</v>
      </c>
      <c r="F422" s="73">
        <f t="shared" si="23"/>
        <v>162</v>
      </c>
      <c r="G422" s="73">
        <f t="shared" si="24"/>
        <v>36594</v>
      </c>
    </row>
    <row r="423" spans="1:7" x14ac:dyDescent="0.2">
      <c r="A423" s="72">
        <v>420</v>
      </c>
      <c r="B423" s="74">
        <v>44339</v>
      </c>
      <c r="C423" s="73">
        <v>141</v>
      </c>
      <c r="D423" s="73">
        <f t="shared" si="22"/>
        <v>36897</v>
      </c>
      <c r="E423" s="73">
        <v>157</v>
      </c>
      <c r="F423" s="73">
        <f t="shared" si="23"/>
        <v>146</v>
      </c>
      <c r="G423" s="73">
        <f t="shared" si="24"/>
        <v>36751</v>
      </c>
    </row>
    <row r="424" spans="1:7" x14ac:dyDescent="0.2">
      <c r="A424" s="72">
        <v>421</v>
      </c>
      <c r="B424" s="74">
        <v>44340</v>
      </c>
      <c r="C424" s="73">
        <v>204</v>
      </c>
      <c r="D424" s="73">
        <f t="shared" si="22"/>
        <v>37101</v>
      </c>
      <c r="E424" s="73">
        <v>83</v>
      </c>
      <c r="F424" s="73">
        <f t="shared" si="23"/>
        <v>267</v>
      </c>
      <c r="G424" s="73">
        <f t="shared" si="24"/>
        <v>36834</v>
      </c>
    </row>
    <row r="425" spans="1:7" x14ac:dyDescent="0.2">
      <c r="A425" s="72">
        <v>422</v>
      </c>
      <c r="B425" s="74">
        <v>44341</v>
      </c>
      <c r="C425" s="73">
        <v>31</v>
      </c>
      <c r="D425" s="73">
        <f t="shared" si="22"/>
        <v>37132</v>
      </c>
      <c r="E425" s="73">
        <v>114</v>
      </c>
      <c r="F425" s="73">
        <f t="shared" si="23"/>
        <v>184</v>
      </c>
      <c r="G425" s="73">
        <f t="shared" si="24"/>
        <v>36948</v>
      </c>
    </row>
    <row r="426" spans="1:7" x14ac:dyDescent="0.2">
      <c r="A426" s="72">
        <v>423</v>
      </c>
      <c r="B426" s="74">
        <v>44342</v>
      </c>
      <c r="C426" s="73">
        <v>118</v>
      </c>
      <c r="D426" s="73">
        <f t="shared" si="22"/>
        <v>37250</v>
      </c>
      <c r="E426" s="73">
        <v>180</v>
      </c>
      <c r="F426" s="73">
        <f t="shared" si="23"/>
        <v>122</v>
      </c>
      <c r="G426" s="73">
        <f t="shared" si="24"/>
        <v>37128</v>
      </c>
    </row>
    <row r="427" spans="1:7" x14ac:dyDescent="0.2">
      <c r="A427" s="72">
        <v>424</v>
      </c>
      <c r="B427" s="74">
        <v>44343</v>
      </c>
      <c r="C427" s="73">
        <v>231</v>
      </c>
      <c r="D427" s="73">
        <f t="shared" si="22"/>
        <v>37481</v>
      </c>
      <c r="E427" s="73">
        <v>22</v>
      </c>
      <c r="F427" s="73">
        <f t="shared" si="23"/>
        <v>331</v>
      </c>
      <c r="G427" s="73">
        <f t="shared" si="24"/>
        <v>37150</v>
      </c>
    </row>
    <row r="428" spans="1:7" x14ac:dyDescent="0.2">
      <c r="A428" s="72">
        <v>425</v>
      </c>
      <c r="B428" s="74">
        <v>44344</v>
      </c>
      <c r="C428" s="73">
        <v>122</v>
      </c>
      <c r="D428" s="73">
        <f t="shared" si="22"/>
        <v>37603</v>
      </c>
      <c r="E428" s="73">
        <v>230</v>
      </c>
      <c r="F428" s="73">
        <f t="shared" si="23"/>
        <v>223</v>
      </c>
      <c r="G428" s="73">
        <f t="shared" si="24"/>
        <v>37380</v>
      </c>
    </row>
    <row r="429" spans="1:7" x14ac:dyDescent="0.2">
      <c r="A429" s="72">
        <v>426</v>
      </c>
      <c r="B429" s="74">
        <v>44345</v>
      </c>
      <c r="C429" s="73">
        <v>10</v>
      </c>
      <c r="D429" s="73">
        <f t="shared" si="22"/>
        <v>37613</v>
      </c>
      <c r="E429" s="73">
        <v>126</v>
      </c>
      <c r="F429" s="73">
        <f t="shared" si="23"/>
        <v>107</v>
      </c>
      <c r="G429" s="73">
        <f t="shared" si="24"/>
        <v>37506</v>
      </c>
    </row>
    <row r="430" spans="1:7" x14ac:dyDescent="0.2">
      <c r="A430" s="72">
        <v>427</v>
      </c>
      <c r="B430" s="74">
        <v>44346</v>
      </c>
      <c r="C430" s="73">
        <v>22</v>
      </c>
      <c r="D430" s="73">
        <f t="shared" si="22"/>
        <v>37635</v>
      </c>
      <c r="E430" s="73">
        <v>15</v>
      </c>
      <c r="F430" s="73">
        <f t="shared" si="23"/>
        <v>114</v>
      </c>
      <c r="G430" s="73">
        <f t="shared" si="24"/>
        <v>37521</v>
      </c>
    </row>
    <row r="431" spans="1:7" x14ac:dyDescent="0.2">
      <c r="A431" s="72">
        <v>428</v>
      </c>
      <c r="B431" s="74">
        <v>44347</v>
      </c>
      <c r="C431" s="73">
        <v>153</v>
      </c>
      <c r="D431" s="73">
        <f t="shared" si="22"/>
        <v>37788</v>
      </c>
      <c r="E431" s="73">
        <v>125</v>
      </c>
      <c r="F431" s="73">
        <f t="shared" si="23"/>
        <v>142</v>
      </c>
      <c r="G431" s="73">
        <f t="shared" si="24"/>
        <v>37646</v>
      </c>
    </row>
    <row r="432" spans="1:7" x14ac:dyDescent="0.2">
      <c r="A432" s="72">
        <v>429</v>
      </c>
      <c r="B432" s="74">
        <v>44348</v>
      </c>
      <c r="C432" s="73">
        <v>128</v>
      </c>
      <c r="D432" s="73">
        <f t="shared" si="22"/>
        <v>37916</v>
      </c>
      <c r="E432" s="73">
        <v>169</v>
      </c>
      <c r="F432" s="73">
        <f t="shared" si="23"/>
        <v>101</v>
      </c>
      <c r="G432" s="73">
        <f t="shared" si="24"/>
        <v>37815</v>
      </c>
    </row>
    <row r="433" spans="1:12" x14ac:dyDescent="0.2">
      <c r="A433" s="72">
        <v>430</v>
      </c>
      <c r="B433" s="74">
        <v>44349</v>
      </c>
      <c r="C433" s="73">
        <v>221</v>
      </c>
      <c r="D433" s="73">
        <f t="shared" si="22"/>
        <v>38137</v>
      </c>
      <c r="E433" s="73">
        <v>211</v>
      </c>
      <c r="F433" s="73">
        <f t="shared" si="23"/>
        <v>111</v>
      </c>
      <c r="G433" s="73">
        <f t="shared" si="24"/>
        <v>38026</v>
      </c>
    </row>
    <row r="434" spans="1:12" x14ac:dyDescent="0.2">
      <c r="A434" s="72">
        <v>431</v>
      </c>
      <c r="B434" s="74">
        <v>44350</v>
      </c>
      <c r="C434" s="73">
        <v>99</v>
      </c>
      <c r="D434" s="73">
        <f t="shared" si="22"/>
        <v>38236</v>
      </c>
      <c r="E434" s="73">
        <v>135</v>
      </c>
      <c r="F434" s="73">
        <f t="shared" si="23"/>
        <v>75</v>
      </c>
      <c r="G434" s="73">
        <f t="shared" si="24"/>
        <v>38161</v>
      </c>
    </row>
    <row r="435" spans="1:12" x14ac:dyDescent="0.2">
      <c r="A435" s="72">
        <v>432</v>
      </c>
      <c r="B435" s="74">
        <v>44351</v>
      </c>
      <c r="C435" s="73">
        <v>76</v>
      </c>
      <c r="D435" s="73">
        <f t="shared" si="22"/>
        <v>38312</v>
      </c>
      <c r="E435" s="73">
        <v>35</v>
      </c>
      <c r="F435" s="73">
        <f t="shared" si="23"/>
        <v>116</v>
      </c>
      <c r="G435" s="73">
        <f t="shared" si="24"/>
        <v>38196</v>
      </c>
    </row>
    <row r="436" spans="1:12" x14ac:dyDescent="0.2">
      <c r="A436" s="72">
        <v>433</v>
      </c>
      <c r="B436" s="74">
        <v>44352</v>
      </c>
      <c r="C436" s="73">
        <v>56</v>
      </c>
      <c r="D436" s="73">
        <f t="shared" si="22"/>
        <v>38368</v>
      </c>
      <c r="E436" s="73">
        <v>135</v>
      </c>
      <c r="F436" s="73">
        <f t="shared" si="23"/>
        <v>37</v>
      </c>
      <c r="G436" s="73">
        <f t="shared" si="24"/>
        <v>38331</v>
      </c>
    </row>
    <row r="437" spans="1:12" x14ac:dyDescent="0.2">
      <c r="A437" s="72">
        <v>434</v>
      </c>
      <c r="B437" s="74">
        <v>44353</v>
      </c>
      <c r="C437" s="73">
        <v>193</v>
      </c>
      <c r="D437" s="73">
        <f t="shared" si="22"/>
        <v>38561</v>
      </c>
      <c r="E437" s="73">
        <v>152</v>
      </c>
      <c r="F437" s="73">
        <f t="shared" si="23"/>
        <v>78</v>
      </c>
      <c r="G437" s="73">
        <f t="shared" si="24"/>
        <v>38483</v>
      </c>
    </row>
    <row r="438" spans="1:12" x14ac:dyDescent="0.2">
      <c r="A438" s="72">
        <v>435</v>
      </c>
      <c r="B438" s="74">
        <v>44354</v>
      </c>
      <c r="C438" s="73">
        <v>131</v>
      </c>
      <c r="D438" s="73">
        <f t="shared" si="22"/>
        <v>38692</v>
      </c>
      <c r="E438" s="73">
        <v>200</v>
      </c>
      <c r="F438" s="73">
        <f t="shared" si="23"/>
        <v>9</v>
      </c>
      <c r="G438" s="73">
        <f t="shared" si="24"/>
        <v>38683</v>
      </c>
    </row>
    <row r="439" spans="1:12" x14ac:dyDescent="0.2">
      <c r="A439" s="72">
        <v>436</v>
      </c>
      <c r="B439" s="74">
        <v>44355</v>
      </c>
      <c r="C439" s="73">
        <v>174</v>
      </c>
      <c r="D439" s="73">
        <f t="shared" si="22"/>
        <v>38866</v>
      </c>
      <c r="E439" s="73">
        <v>150</v>
      </c>
      <c r="F439" s="73">
        <f t="shared" si="23"/>
        <v>33</v>
      </c>
      <c r="G439" s="73">
        <f t="shared" si="24"/>
        <v>38833</v>
      </c>
    </row>
    <row r="440" spans="1:12" x14ac:dyDescent="0.2">
      <c r="A440" s="72">
        <v>437</v>
      </c>
      <c r="B440" s="74">
        <v>44356</v>
      </c>
      <c r="C440" s="73">
        <v>489</v>
      </c>
      <c r="D440" s="73">
        <f t="shared" si="22"/>
        <v>39355</v>
      </c>
      <c r="E440" s="73">
        <v>149</v>
      </c>
      <c r="F440" s="73">
        <f t="shared" si="23"/>
        <v>373</v>
      </c>
      <c r="G440" s="73">
        <f t="shared" si="24"/>
        <v>38982</v>
      </c>
      <c r="K440" s="70" t="s">
        <v>464</v>
      </c>
    </row>
    <row r="441" spans="1:12" x14ac:dyDescent="0.2">
      <c r="A441" s="72">
        <v>438</v>
      </c>
      <c r="B441" s="74">
        <v>44357</v>
      </c>
      <c r="C441" s="73">
        <v>253</v>
      </c>
      <c r="D441" s="73">
        <f t="shared" si="22"/>
        <v>39608</v>
      </c>
      <c r="E441" s="73">
        <v>158</v>
      </c>
      <c r="F441" s="73">
        <f t="shared" si="23"/>
        <v>468</v>
      </c>
      <c r="G441" s="73">
        <f t="shared" si="24"/>
        <v>39140</v>
      </c>
    </row>
    <row r="442" spans="1:12" x14ac:dyDescent="0.2">
      <c r="A442" s="72">
        <v>439</v>
      </c>
      <c r="B442" s="74">
        <v>44358</v>
      </c>
      <c r="C442" s="73">
        <v>352</v>
      </c>
      <c r="D442" s="73">
        <f t="shared" si="22"/>
        <v>39960</v>
      </c>
      <c r="E442" s="73">
        <v>252</v>
      </c>
      <c r="F442" s="73">
        <f t="shared" si="23"/>
        <v>568</v>
      </c>
      <c r="G442" s="73">
        <f t="shared" si="24"/>
        <v>39392</v>
      </c>
      <c r="L442" s="70">
        <v>998</v>
      </c>
    </row>
    <row r="443" spans="1:12" x14ac:dyDescent="0.2">
      <c r="A443" s="72">
        <v>440</v>
      </c>
      <c r="B443" s="74">
        <v>44359</v>
      </c>
      <c r="C443" s="73">
        <v>54</v>
      </c>
      <c r="D443" s="73">
        <f t="shared" si="22"/>
        <v>40014</v>
      </c>
      <c r="E443" s="73">
        <v>150</v>
      </c>
      <c r="F443" s="73">
        <f t="shared" si="23"/>
        <v>472</v>
      </c>
      <c r="G443" s="73">
        <f t="shared" si="24"/>
        <v>39542</v>
      </c>
    </row>
    <row r="444" spans="1:12" x14ac:dyDescent="0.2">
      <c r="A444" s="72">
        <v>441</v>
      </c>
      <c r="B444" s="74">
        <v>44360</v>
      </c>
      <c r="C444" s="73">
        <v>114</v>
      </c>
      <c r="D444" s="73">
        <f t="shared" si="22"/>
        <v>40128</v>
      </c>
      <c r="E444" s="73">
        <v>57</v>
      </c>
      <c r="F444" s="73">
        <f t="shared" si="23"/>
        <v>529</v>
      </c>
      <c r="G444" s="73">
        <f t="shared" si="24"/>
        <v>39599</v>
      </c>
    </row>
    <row r="445" spans="1:12" x14ac:dyDescent="0.2">
      <c r="A445" s="72">
        <v>442</v>
      </c>
      <c r="B445" s="74">
        <v>44361</v>
      </c>
      <c r="C445" s="73">
        <v>257</v>
      </c>
      <c r="D445" s="73">
        <f t="shared" si="22"/>
        <v>40385</v>
      </c>
      <c r="E445" s="73">
        <v>200</v>
      </c>
      <c r="F445" s="73">
        <f t="shared" si="23"/>
        <v>586</v>
      </c>
      <c r="G445" s="73">
        <f t="shared" si="24"/>
        <v>39799</v>
      </c>
    </row>
    <row r="446" spans="1:12" x14ac:dyDescent="0.2">
      <c r="A446" s="72">
        <v>443</v>
      </c>
      <c r="B446" s="74">
        <v>44362</v>
      </c>
      <c r="C446" s="73">
        <v>388</v>
      </c>
      <c r="D446" s="73">
        <f t="shared" si="22"/>
        <v>40773</v>
      </c>
      <c r="E446" s="73">
        <v>77</v>
      </c>
      <c r="F446" s="73">
        <f t="shared" si="23"/>
        <v>897</v>
      </c>
      <c r="G446" s="73">
        <f t="shared" si="24"/>
        <v>39876</v>
      </c>
    </row>
    <row r="447" spans="1:12" x14ac:dyDescent="0.2">
      <c r="A447" s="72">
        <v>444</v>
      </c>
      <c r="B447" s="74">
        <v>44363</v>
      </c>
      <c r="C447" s="73">
        <v>492</v>
      </c>
      <c r="D447" s="73">
        <f t="shared" si="22"/>
        <v>41265</v>
      </c>
      <c r="E447" s="73">
        <v>552</v>
      </c>
      <c r="F447" s="73">
        <f t="shared" si="23"/>
        <v>837</v>
      </c>
      <c r="G447" s="73">
        <f t="shared" si="24"/>
        <v>40428</v>
      </c>
    </row>
    <row r="448" spans="1:12" x14ac:dyDescent="0.2">
      <c r="A448" s="72">
        <v>445</v>
      </c>
      <c r="B448" s="74">
        <v>44364</v>
      </c>
      <c r="C448" s="73">
        <v>310</v>
      </c>
      <c r="D448" s="73">
        <f t="shared" si="22"/>
        <v>41575</v>
      </c>
      <c r="E448" s="73">
        <v>471</v>
      </c>
      <c r="F448" s="73">
        <f t="shared" si="23"/>
        <v>676</v>
      </c>
      <c r="G448" s="73">
        <f t="shared" si="24"/>
        <v>40899</v>
      </c>
    </row>
    <row r="449" spans="1:7" x14ac:dyDescent="0.2">
      <c r="A449" s="72">
        <v>446</v>
      </c>
      <c r="B449" s="74">
        <v>44365</v>
      </c>
      <c r="C449" s="73">
        <v>226</v>
      </c>
      <c r="D449" s="73">
        <f t="shared" si="22"/>
        <v>41801</v>
      </c>
      <c r="E449" s="73">
        <v>421</v>
      </c>
      <c r="F449" s="73">
        <f t="shared" si="23"/>
        <v>481</v>
      </c>
      <c r="G449" s="73">
        <f t="shared" si="24"/>
        <v>41320</v>
      </c>
    </row>
    <row r="450" spans="1:7" x14ac:dyDescent="0.2">
      <c r="A450" s="72">
        <v>447</v>
      </c>
      <c r="B450" s="74">
        <v>44366</v>
      </c>
      <c r="C450" s="73">
        <v>186</v>
      </c>
      <c r="D450" s="73">
        <f t="shared" si="22"/>
        <v>41987</v>
      </c>
      <c r="E450" s="73">
        <v>394</v>
      </c>
      <c r="F450" s="73">
        <f t="shared" si="23"/>
        <v>273</v>
      </c>
      <c r="G450" s="73">
        <f t="shared" si="24"/>
        <v>41714</v>
      </c>
    </row>
    <row r="451" spans="1:7" x14ac:dyDescent="0.2">
      <c r="A451" s="72">
        <v>448</v>
      </c>
      <c r="B451" s="74">
        <v>44367</v>
      </c>
      <c r="C451" s="73">
        <v>218</v>
      </c>
      <c r="D451" s="73">
        <f t="shared" si="22"/>
        <v>42205</v>
      </c>
      <c r="E451" s="73">
        <v>103</v>
      </c>
      <c r="F451" s="73">
        <f t="shared" si="23"/>
        <v>388</v>
      </c>
      <c r="G451" s="73">
        <f t="shared" si="24"/>
        <v>41817</v>
      </c>
    </row>
    <row r="452" spans="1:7" x14ac:dyDescent="0.2">
      <c r="A452" s="72">
        <v>449</v>
      </c>
      <c r="B452" s="74">
        <v>44368</v>
      </c>
      <c r="C452" s="73">
        <v>264</v>
      </c>
      <c r="D452" s="73">
        <f t="shared" si="22"/>
        <v>42469</v>
      </c>
      <c r="E452" s="73">
        <v>177</v>
      </c>
      <c r="F452" s="73">
        <f t="shared" si="23"/>
        <v>475</v>
      </c>
      <c r="G452" s="73">
        <f t="shared" si="24"/>
        <v>41994</v>
      </c>
    </row>
    <row r="453" spans="1:7" x14ac:dyDescent="0.2">
      <c r="A453" s="72">
        <v>450</v>
      </c>
      <c r="B453" s="74">
        <v>44369</v>
      </c>
      <c r="C453" s="73">
        <v>177</v>
      </c>
      <c r="D453" s="73">
        <f t="shared" si="22"/>
        <v>42646</v>
      </c>
      <c r="E453" s="73">
        <v>307</v>
      </c>
      <c r="F453" s="73">
        <f t="shared" si="23"/>
        <v>345</v>
      </c>
      <c r="G453" s="73">
        <f t="shared" si="24"/>
        <v>42301</v>
      </c>
    </row>
    <row r="454" spans="1:7" x14ac:dyDescent="0.2">
      <c r="A454" s="72">
        <v>451</v>
      </c>
      <c r="B454" s="74">
        <v>44370</v>
      </c>
      <c r="C454" s="73">
        <v>380</v>
      </c>
      <c r="D454" s="73">
        <f t="shared" si="22"/>
        <v>43026</v>
      </c>
      <c r="E454" s="73">
        <v>360</v>
      </c>
      <c r="F454" s="73">
        <f t="shared" si="23"/>
        <v>365</v>
      </c>
      <c r="G454" s="73">
        <f t="shared" si="24"/>
        <v>42661</v>
      </c>
    </row>
    <row r="455" spans="1:7" x14ac:dyDescent="0.2">
      <c r="A455" s="72">
        <v>452</v>
      </c>
      <c r="B455" s="74">
        <v>44371</v>
      </c>
      <c r="C455" s="73">
        <v>477</v>
      </c>
      <c r="D455" s="73">
        <f t="shared" si="22"/>
        <v>43503</v>
      </c>
      <c r="E455" s="73">
        <v>407</v>
      </c>
      <c r="F455" s="73">
        <f t="shared" si="23"/>
        <v>435</v>
      </c>
      <c r="G455" s="73">
        <f t="shared" si="24"/>
        <v>43068</v>
      </c>
    </row>
    <row r="456" spans="1:7" x14ac:dyDescent="0.2">
      <c r="A456" s="72">
        <v>453</v>
      </c>
      <c r="B456" s="74">
        <v>44372</v>
      </c>
      <c r="C456" s="73">
        <v>74</v>
      </c>
      <c r="D456" s="73">
        <f t="shared" si="22"/>
        <v>43577</v>
      </c>
      <c r="E456" s="73">
        <v>113</v>
      </c>
      <c r="F456" s="73">
        <f t="shared" si="23"/>
        <v>396</v>
      </c>
      <c r="G456" s="73">
        <f t="shared" si="24"/>
        <v>43181</v>
      </c>
    </row>
    <row r="457" spans="1:7" x14ac:dyDescent="0.2">
      <c r="A457" s="72">
        <v>454</v>
      </c>
      <c r="B457" s="74">
        <v>44373</v>
      </c>
      <c r="C457" s="73">
        <v>316</v>
      </c>
      <c r="D457" s="73">
        <f t="shared" si="22"/>
        <v>43893</v>
      </c>
      <c r="E457" s="73">
        <v>587</v>
      </c>
      <c r="F457" s="73">
        <f t="shared" si="23"/>
        <v>125</v>
      </c>
      <c r="G457" s="73">
        <f t="shared" si="24"/>
        <v>43768</v>
      </c>
    </row>
    <row r="458" spans="1:7" x14ac:dyDescent="0.2">
      <c r="A458" s="72">
        <v>455</v>
      </c>
      <c r="B458" s="74">
        <v>44374</v>
      </c>
      <c r="C458" s="73">
        <v>167</v>
      </c>
      <c r="D458" s="73">
        <f t="shared" si="22"/>
        <v>44060</v>
      </c>
      <c r="E458" s="73">
        <v>167</v>
      </c>
      <c r="F458" s="73">
        <f t="shared" si="23"/>
        <v>125</v>
      </c>
      <c r="G458" s="73">
        <f t="shared" si="24"/>
        <v>43935</v>
      </c>
    </row>
    <row r="459" spans="1:7" x14ac:dyDescent="0.2">
      <c r="A459" s="72">
        <v>456</v>
      </c>
      <c r="B459" s="74">
        <v>44375</v>
      </c>
      <c r="C459" s="73">
        <v>434</v>
      </c>
      <c r="D459" s="73">
        <f t="shared" si="22"/>
        <v>44494</v>
      </c>
      <c r="E459" s="73">
        <v>287</v>
      </c>
      <c r="F459" s="73">
        <f t="shared" si="23"/>
        <v>272</v>
      </c>
      <c r="G459" s="73">
        <f t="shared" si="24"/>
        <v>44222</v>
      </c>
    </row>
    <row r="460" spans="1:7" x14ac:dyDescent="0.2">
      <c r="A460" s="72">
        <v>457</v>
      </c>
      <c r="B460" s="74">
        <v>44376</v>
      </c>
      <c r="C460" s="73">
        <v>342</v>
      </c>
      <c r="D460" s="73">
        <f t="shared" si="22"/>
        <v>44836</v>
      </c>
      <c r="E460" s="73">
        <v>447</v>
      </c>
      <c r="F460" s="73">
        <f t="shared" si="23"/>
        <v>167</v>
      </c>
      <c r="G460" s="73">
        <f t="shared" si="24"/>
        <v>44669</v>
      </c>
    </row>
    <row r="461" spans="1:7" x14ac:dyDescent="0.2">
      <c r="A461" s="72">
        <v>458</v>
      </c>
      <c r="B461" s="74">
        <v>44377</v>
      </c>
      <c r="C461" s="73">
        <v>440</v>
      </c>
      <c r="D461" s="73">
        <f t="shared" si="22"/>
        <v>45276</v>
      </c>
      <c r="E461" s="73">
        <v>358</v>
      </c>
      <c r="F461" s="73">
        <f t="shared" si="23"/>
        <v>249</v>
      </c>
      <c r="G461" s="73">
        <f t="shared" si="24"/>
        <v>45027</v>
      </c>
    </row>
    <row r="462" spans="1:7" x14ac:dyDescent="0.2">
      <c r="A462" s="72">
        <v>459</v>
      </c>
      <c r="B462" s="74">
        <v>44378</v>
      </c>
      <c r="C462" s="73">
        <v>302</v>
      </c>
      <c r="D462" s="73">
        <f t="shared" si="22"/>
        <v>45578</v>
      </c>
      <c r="E462" s="73">
        <v>352</v>
      </c>
      <c r="F462" s="73">
        <f t="shared" si="23"/>
        <v>199</v>
      </c>
      <c r="G462" s="73">
        <f t="shared" si="24"/>
        <v>45379</v>
      </c>
    </row>
    <row r="463" spans="1:7" x14ac:dyDescent="0.2">
      <c r="A463" s="72">
        <v>460</v>
      </c>
      <c r="B463" s="74">
        <v>44379</v>
      </c>
      <c r="C463" s="73">
        <v>78</v>
      </c>
      <c r="D463" s="73">
        <f t="shared" si="22"/>
        <v>45656</v>
      </c>
      <c r="E463" s="73">
        <v>104</v>
      </c>
      <c r="F463" s="73">
        <f t="shared" si="23"/>
        <v>173</v>
      </c>
      <c r="G463" s="73">
        <f t="shared" si="24"/>
        <v>45483</v>
      </c>
    </row>
    <row r="464" spans="1:7" x14ac:dyDescent="0.2">
      <c r="A464" s="72">
        <v>461</v>
      </c>
      <c r="B464" s="74">
        <v>44380</v>
      </c>
      <c r="C464" s="73">
        <v>183</v>
      </c>
      <c r="D464" s="73">
        <f t="shared" si="22"/>
        <v>45839</v>
      </c>
      <c r="E464" s="73">
        <v>287</v>
      </c>
      <c r="F464" s="73">
        <f t="shared" si="23"/>
        <v>69</v>
      </c>
      <c r="G464" s="73">
        <f t="shared" si="24"/>
        <v>45770</v>
      </c>
    </row>
    <row r="465" spans="1:7" x14ac:dyDescent="0.2">
      <c r="A465" s="72">
        <v>462</v>
      </c>
      <c r="B465" s="74">
        <v>44381</v>
      </c>
      <c r="C465" s="73">
        <v>155</v>
      </c>
      <c r="D465" s="73">
        <f t="shared" si="22"/>
        <v>45994</v>
      </c>
      <c r="E465" s="73">
        <v>143</v>
      </c>
      <c r="F465" s="73">
        <f t="shared" si="23"/>
        <v>81</v>
      </c>
      <c r="G465" s="73">
        <f t="shared" si="24"/>
        <v>45913</v>
      </c>
    </row>
    <row r="466" spans="1:7" x14ac:dyDescent="0.2">
      <c r="A466" s="72">
        <v>463</v>
      </c>
      <c r="B466" s="74">
        <v>44382</v>
      </c>
      <c r="C466" s="73">
        <v>415</v>
      </c>
      <c r="D466" s="73">
        <f t="shared" si="22"/>
        <v>46409</v>
      </c>
      <c r="E466" s="73">
        <v>292</v>
      </c>
      <c r="F466" s="73">
        <f t="shared" si="23"/>
        <v>204</v>
      </c>
      <c r="G466" s="73">
        <f t="shared" si="24"/>
        <v>46205</v>
      </c>
    </row>
    <row r="467" spans="1:7" x14ac:dyDescent="0.2">
      <c r="A467" s="72">
        <v>464</v>
      </c>
      <c r="B467" s="74">
        <v>44383</v>
      </c>
      <c r="C467" s="73">
        <v>281</v>
      </c>
      <c r="D467" s="73">
        <f t="shared" ref="D467:D529" si="25">D466+C467</f>
        <v>46690</v>
      </c>
      <c r="E467" s="73">
        <v>221</v>
      </c>
      <c r="F467" s="73">
        <f t="shared" ref="F467:F529" si="26">F466+C467-E467</f>
        <v>264</v>
      </c>
      <c r="G467" s="73">
        <f t="shared" ref="G467:G529" si="27">G466+E467</f>
        <v>46426</v>
      </c>
    </row>
    <row r="468" spans="1:7" x14ac:dyDescent="0.2">
      <c r="A468" s="72">
        <v>465</v>
      </c>
      <c r="B468" s="74">
        <v>44384</v>
      </c>
      <c r="C468" s="73">
        <v>166</v>
      </c>
      <c r="D468" s="73">
        <f t="shared" si="25"/>
        <v>46856</v>
      </c>
      <c r="E468" s="73">
        <v>410</v>
      </c>
      <c r="F468" s="73">
        <f t="shared" si="26"/>
        <v>20</v>
      </c>
      <c r="G468" s="73">
        <f t="shared" si="27"/>
        <v>46836</v>
      </c>
    </row>
    <row r="469" spans="1:7" x14ac:dyDescent="0.2">
      <c r="A469" s="72">
        <v>466</v>
      </c>
      <c r="B469" s="74">
        <v>44385</v>
      </c>
      <c r="C469" s="73">
        <v>216</v>
      </c>
      <c r="D469" s="73">
        <f t="shared" si="25"/>
        <v>47072</v>
      </c>
      <c r="E469" s="73">
        <v>79</v>
      </c>
      <c r="F469" s="73">
        <f t="shared" si="26"/>
        <v>157</v>
      </c>
      <c r="G469" s="73">
        <f t="shared" si="27"/>
        <v>46915</v>
      </c>
    </row>
    <row r="470" spans="1:7" x14ac:dyDescent="0.2">
      <c r="A470" s="72">
        <v>467</v>
      </c>
      <c r="B470" s="74">
        <v>44386</v>
      </c>
      <c r="C470" s="73">
        <v>217</v>
      </c>
      <c r="D470" s="73">
        <f t="shared" si="25"/>
        <v>47289</v>
      </c>
      <c r="E470" s="73">
        <v>183</v>
      </c>
      <c r="F470" s="73">
        <f t="shared" si="26"/>
        <v>191</v>
      </c>
      <c r="G470" s="73">
        <f t="shared" si="27"/>
        <v>47098</v>
      </c>
    </row>
    <row r="471" spans="1:7" x14ac:dyDescent="0.2">
      <c r="A471" s="72">
        <v>468</v>
      </c>
      <c r="B471" s="74">
        <v>44387</v>
      </c>
      <c r="C471" s="73">
        <v>297</v>
      </c>
      <c r="D471" s="73">
        <f t="shared" si="25"/>
        <v>47586</v>
      </c>
      <c r="E471" s="73">
        <v>35</v>
      </c>
      <c r="F471" s="73">
        <f t="shared" si="26"/>
        <v>453</v>
      </c>
      <c r="G471" s="73">
        <f t="shared" si="27"/>
        <v>47133</v>
      </c>
    </row>
    <row r="472" spans="1:7" x14ac:dyDescent="0.2">
      <c r="A472" s="72">
        <v>469</v>
      </c>
      <c r="B472" s="74">
        <v>44388</v>
      </c>
      <c r="C472" s="73">
        <v>326</v>
      </c>
      <c r="D472" s="73">
        <f t="shared" si="25"/>
        <v>47912</v>
      </c>
      <c r="E472" s="73">
        <v>210</v>
      </c>
      <c r="F472" s="73">
        <f t="shared" si="26"/>
        <v>569</v>
      </c>
      <c r="G472" s="73">
        <f t="shared" si="27"/>
        <v>47343</v>
      </c>
    </row>
    <row r="473" spans="1:7" x14ac:dyDescent="0.2">
      <c r="A473" s="72">
        <v>470</v>
      </c>
      <c r="B473" s="74">
        <v>44389</v>
      </c>
      <c r="C473" s="73">
        <v>745</v>
      </c>
      <c r="D473" s="73">
        <f t="shared" si="25"/>
        <v>48657</v>
      </c>
      <c r="E473" s="73">
        <v>82</v>
      </c>
      <c r="F473" s="73">
        <f t="shared" si="26"/>
        <v>1232</v>
      </c>
      <c r="G473" s="73">
        <f t="shared" si="27"/>
        <v>47425</v>
      </c>
    </row>
    <row r="474" spans="1:7" x14ac:dyDescent="0.2">
      <c r="A474" s="72">
        <v>471</v>
      </c>
      <c r="B474" s="74">
        <v>44390</v>
      </c>
      <c r="C474" s="73">
        <v>261</v>
      </c>
      <c r="D474" s="73">
        <f t="shared" si="25"/>
        <v>48918</v>
      </c>
      <c r="E474" s="73">
        <v>94</v>
      </c>
      <c r="F474" s="73">
        <f t="shared" si="26"/>
        <v>1399</v>
      </c>
      <c r="G474" s="73">
        <f t="shared" si="27"/>
        <v>47519</v>
      </c>
    </row>
    <row r="475" spans="1:7" x14ac:dyDescent="0.2">
      <c r="A475" s="72">
        <v>472</v>
      </c>
      <c r="B475" s="74">
        <v>44391</v>
      </c>
      <c r="C475" s="73">
        <v>587</v>
      </c>
      <c r="D475" s="73">
        <f t="shared" si="25"/>
        <v>49505</v>
      </c>
      <c r="E475" s="73">
        <v>205</v>
      </c>
      <c r="F475" s="73">
        <f t="shared" si="26"/>
        <v>1781</v>
      </c>
      <c r="G475" s="73">
        <f t="shared" si="27"/>
        <v>47724</v>
      </c>
    </row>
    <row r="476" spans="1:7" x14ac:dyDescent="0.2">
      <c r="A476" s="72">
        <v>473</v>
      </c>
      <c r="B476" s="74">
        <v>44392</v>
      </c>
      <c r="C476" s="73">
        <v>99</v>
      </c>
      <c r="D476" s="73">
        <f t="shared" si="25"/>
        <v>49604</v>
      </c>
      <c r="E476" s="73">
        <v>158</v>
      </c>
      <c r="F476" s="73">
        <f t="shared" si="26"/>
        <v>1722</v>
      </c>
      <c r="G476" s="73">
        <f t="shared" si="27"/>
        <v>47882</v>
      </c>
    </row>
    <row r="477" spans="1:7" x14ac:dyDescent="0.2">
      <c r="A477" s="72">
        <v>474</v>
      </c>
      <c r="B477" s="74">
        <v>44393</v>
      </c>
      <c r="C477" s="73">
        <v>350</v>
      </c>
      <c r="D477" s="73">
        <f t="shared" si="25"/>
        <v>49954</v>
      </c>
      <c r="E477" s="73">
        <v>1112</v>
      </c>
      <c r="F477" s="73">
        <f t="shared" si="26"/>
        <v>960</v>
      </c>
      <c r="G477" s="73">
        <f t="shared" si="27"/>
        <v>48994</v>
      </c>
    </row>
    <row r="478" spans="1:7" x14ac:dyDescent="0.2">
      <c r="A478" s="72">
        <v>475</v>
      </c>
      <c r="B478" s="74">
        <v>44394</v>
      </c>
      <c r="C478" s="73">
        <v>242</v>
      </c>
      <c r="D478" s="73">
        <f t="shared" si="25"/>
        <v>50196</v>
      </c>
      <c r="E478" s="73">
        <v>220</v>
      </c>
      <c r="F478" s="73">
        <f t="shared" si="26"/>
        <v>982</v>
      </c>
      <c r="G478" s="73">
        <f t="shared" si="27"/>
        <v>49214</v>
      </c>
    </row>
    <row r="479" spans="1:7" x14ac:dyDescent="0.2">
      <c r="A479" s="72">
        <v>476</v>
      </c>
      <c r="B479" s="74">
        <v>44395</v>
      </c>
      <c r="C479" s="73">
        <v>104</v>
      </c>
      <c r="D479" s="73">
        <f t="shared" si="25"/>
        <v>50300</v>
      </c>
      <c r="E479" s="73">
        <v>181</v>
      </c>
      <c r="F479" s="73">
        <f t="shared" si="26"/>
        <v>905</v>
      </c>
      <c r="G479" s="73">
        <f t="shared" si="27"/>
        <v>49395</v>
      </c>
    </row>
    <row r="480" spans="1:7" x14ac:dyDescent="0.2">
      <c r="A480" s="72">
        <v>477</v>
      </c>
      <c r="B480" s="74">
        <v>44396</v>
      </c>
      <c r="C480" s="73">
        <v>804</v>
      </c>
      <c r="D480" s="73">
        <f t="shared" si="25"/>
        <v>51104</v>
      </c>
      <c r="E480" s="73">
        <v>639</v>
      </c>
      <c r="F480" s="73">
        <f t="shared" si="26"/>
        <v>1070</v>
      </c>
      <c r="G480" s="73">
        <f t="shared" si="27"/>
        <v>50034</v>
      </c>
    </row>
    <row r="481" spans="1:7" x14ac:dyDescent="0.2">
      <c r="A481" s="72">
        <v>478</v>
      </c>
      <c r="B481" s="74">
        <v>44397</v>
      </c>
      <c r="C481" s="73">
        <v>30</v>
      </c>
      <c r="D481" s="73">
        <f t="shared" si="25"/>
        <v>51134</v>
      </c>
      <c r="E481" s="73">
        <v>193</v>
      </c>
      <c r="F481" s="73">
        <f t="shared" si="26"/>
        <v>907</v>
      </c>
      <c r="G481" s="73">
        <f t="shared" si="27"/>
        <v>50227</v>
      </c>
    </row>
    <row r="482" spans="1:7" x14ac:dyDescent="0.2">
      <c r="A482" s="72">
        <v>479</v>
      </c>
      <c r="B482" s="74">
        <v>44398</v>
      </c>
      <c r="C482" s="73">
        <v>31</v>
      </c>
      <c r="D482" s="73">
        <f t="shared" si="25"/>
        <v>51165</v>
      </c>
      <c r="E482" s="73">
        <v>207</v>
      </c>
      <c r="F482" s="73">
        <f t="shared" si="26"/>
        <v>731</v>
      </c>
      <c r="G482" s="73">
        <f t="shared" si="27"/>
        <v>50434</v>
      </c>
    </row>
    <row r="483" spans="1:7" x14ac:dyDescent="0.2">
      <c r="A483" s="72">
        <v>480</v>
      </c>
      <c r="B483" s="74">
        <v>44399</v>
      </c>
      <c r="C483" s="73">
        <v>77</v>
      </c>
      <c r="D483" s="73">
        <f t="shared" si="25"/>
        <v>51242</v>
      </c>
      <c r="E483" s="73">
        <v>265</v>
      </c>
      <c r="F483" s="73">
        <f t="shared" si="26"/>
        <v>543</v>
      </c>
      <c r="G483" s="73">
        <f t="shared" si="27"/>
        <v>50699</v>
      </c>
    </row>
    <row r="484" spans="1:7" x14ac:dyDescent="0.2">
      <c r="A484" s="72">
        <v>481</v>
      </c>
      <c r="B484" s="74">
        <v>44400</v>
      </c>
      <c r="C484" s="73">
        <v>540</v>
      </c>
      <c r="D484" s="73">
        <f t="shared" si="25"/>
        <v>51782</v>
      </c>
      <c r="E484" s="73">
        <v>126</v>
      </c>
      <c r="F484" s="73">
        <f t="shared" si="26"/>
        <v>957</v>
      </c>
      <c r="G484" s="73">
        <f t="shared" si="27"/>
        <v>50825</v>
      </c>
    </row>
    <row r="485" spans="1:7" x14ac:dyDescent="0.2">
      <c r="A485" s="72">
        <v>482</v>
      </c>
      <c r="B485" s="74">
        <v>44401</v>
      </c>
      <c r="C485" s="73">
        <v>135</v>
      </c>
      <c r="D485" s="73">
        <f t="shared" si="25"/>
        <v>51917</v>
      </c>
      <c r="E485" s="73">
        <v>24</v>
      </c>
      <c r="F485" s="73">
        <f t="shared" si="26"/>
        <v>1068</v>
      </c>
      <c r="G485" s="73">
        <f t="shared" si="27"/>
        <v>50849</v>
      </c>
    </row>
    <row r="486" spans="1:7" x14ac:dyDescent="0.2">
      <c r="A486" s="72">
        <v>483</v>
      </c>
      <c r="B486" s="74">
        <v>44402</v>
      </c>
      <c r="C486" s="73">
        <v>523</v>
      </c>
      <c r="D486" s="73">
        <f t="shared" si="25"/>
        <v>52440</v>
      </c>
      <c r="E486" s="73">
        <v>95</v>
      </c>
      <c r="F486" s="73">
        <f t="shared" si="26"/>
        <v>1496</v>
      </c>
      <c r="G486" s="73">
        <f t="shared" si="27"/>
        <v>50944</v>
      </c>
    </row>
    <row r="487" spans="1:7" x14ac:dyDescent="0.2">
      <c r="A487" s="72">
        <v>484</v>
      </c>
      <c r="B487" s="74">
        <v>44403</v>
      </c>
      <c r="C487" s="73">
        <v>65</v>
      </c>
      <c r="D487" s="73">
        <f t="shared" si="25"/>
        <v>52505</v>
      </c>
      <c r="E487" s="73">
        <v>96</v>
      </c>
      <c r="F487" s="73">
        <f t="shared" si="26"/>
        <v>1465</v>
      </c>
      <c r="G487" s="73">
        <f t="shared" si="27"/>
        <v>51040</v>
      </c>
    </row>
    <row r="488" spans="1:7" x14ac:dyDescent="0.2">
      <c r="A488" s="72">
        <v>485</v>
      </c>
      <c r="B488" s="74">
        <v>44404</v>
      </c>
      <c r="C488" s="73">
        <v>267</v>
      </c>
      <c r="D488" s="73">
        <f t="shared" si="25"/>
        <v>52772</v>
      </c>
      <c r="E488" s="73">
        <v>46</v>
      </c>
      <c r="F488" s="73">
        <f t="shared" si="26"/>
        <v>1686</v>
      </c>
      <c r="G488" s="73">
        <f t="shared" si="27"/>
        <v>51086</v>
      </c>
    </row>
    <row r="489" spans="1:7" x14ac:dyDescent="0.2">
      <c r="A489" s="72">
        <v>486</v>
      </c>
      <c r="B489" s="74">
        <v>44405</v>
      </c>
      <c r="C489" s="73">
        <v>62</v>
      </c>
      <c r="D489" s="73">
        <f t="shared" si="25"/>
        <v>52834</v>
      </c>
      <c r="E489" s="73">
        <v>157</v>
      </c>
      <c r="F489" s="73">
        <f t="shared" si="26"/>
        <v>1591</v>
      </c>
      <c r="G489" s="73">
        <f t="shared" si="27"/>
        <v>51243</v>
      </c>
    </row>
    <row r="490" spans="1:7" x14ac:dyDescent="0.2">
      <c r="A490" s="72">
        <v>487</v>
      </c>
      <c r="B490" s="74">
        <v>44406</v>
      </c>
      <c r="C490" s="73">
        <v>193</v>
      </c>
      <c r="D490" s="73">
        <f t="shared" si="25"/>
        <v>53027</v>
      </c>
      <c r="E490" s="73">
        <v>39</v>
      </c>
      <c r="F490" s="73">
        <f t="shared" si="26"/>
        <v>1745</v>
      </c>
      <c r="G490" s="73">
        <f t="shared" si="27"/>
        <v>51282</v>
      </c>
    </row>
    <row r="491" spans="1:7" x14ac:dyDescent="0.2">
      <c r="A491" s="72">
        <v>488</v>
      </c>
      <c r="B491" s="74">
        <v>44407</v>
      </c>
      <c r="C491" s="73">
        <v>128</v>
      </c>
      <c r="D491" s="73">
        <f t="shared" si="25"/>
        <v>53155</v>
      </c>
      <c r="E491" s="73">
        <v>299</v>
      </c>
      <c r="F491" s="73">
        <f t="shared" si="26"/>
        <v>1574</v>
      </c>
      <c r="G491" s="73">
        <f t="shared" si="27"/>
        <v>51581</v>
      </c>
    </row>
    <row r="492" spans="1:7" x14ac:dyDescent="0.2">
      <c r="A492" s="72">
        <v>489</v>
      </c>
      <c r="B492" s="74">
        <v>44408</v>
      </c>
      <c r="C492" s="73">
        <v>138</v>
      </c>
      <c r="D492" s="73">
        <f t="shared" si="25"/>
        <v>53293</v>
      </c>
      <c r="E492" s="73">
        <v>130</v>
      </c>
      <c r="F492" s="73">
        <f t="shared" si="26"/>
        <v>1582</v>
      </c>
      <c r="G492" s="73">
        <f t="shared" si="27"/>
        <v>51711</v>
      </c>
    </row>
    <row r="493" spans="1:7" x14ac:dyDescent="0.2">
      <c r="A493" s="72">
        <v>490</v>
      </c>
      <c r="B493" s="74">
        <v>44409</v>
      </c>
      <c r="C493" s="73">
        <v>504</v>
      </c>
      <c r="D493" s="73">
        <f t="shared" si="25"/>
        <v>53797</v>
      </c>
      <c r="E493" s="73">
        <v>250</v>
      </c>
      <c r="F493" s="73">
        <f t="shared" si="26"/>
        <v>1836</v>
      </c>
      <c r="G493" s="73">
        <f t="shared" si="27"/>
        <v>51961</v>
      </c>
    </row>
    <row r="494" spans="1:7" x14ac:dyDescent="0.2">
      <c r="A494" s="72">
        <v>491</v>
      </c>
      <c r="B494" s="74">
        <v>44410</v>
      </c>
      <c r="C494" s="73">
        <v>521</v>
      </c>
      <c r="D494" s="73">
        <f t="shared" si="25"/>
        <v>54318</v>
      </c>
      <c r="E494" s="73">
        <v>65</v>
      </c>
      <c r="F494" s="73">
        <f t="shared" si="26"/>
        <v>2292</v>
      </c>
      <c r="G494" s="73">
        <f t="shared" si="27"/>
        <v>52026</v>
      </c>
    </row>
    <row r="495" spans="1:7" x14ac:dyDescent="0.2">
      <c r="A495" s="72">
        <v>492</v>
      </c>
      <c r="B495" s="74">
        <v>44411</v>
      </c>
      <c r="C495" s="73">
        <v>36</v>
      </c>
      <c r="D495" s="73">
        <f t="shared" si="25"/>
        <v>54354</v>
      </c>
      <c r="E495" s="73">
        <v>278</v>
      </c>
      <c r="F495" s="73">
        <f t="shared" si="26"/>
        <v>2050</v>
      </c>
      <c r="G495" s="73">
        <f t="shared" si="27"/>
        <v>52304</v>
      </c>
    </row>
    <row r="496" spans="1:7" x14ac:dyDescent="0.2">
      <c r="A496" s="72">
        <v>493</v>
      </c>
      <c r="B496" s="74">
        <v>44412</v>
      </c>
      <c r="C496" s="73">
        <v>365</v>
      </c>
      <c r="D496" s="73">
        <f t="shared" si="25"/>
        <v>54719</v>
      </c>
      <c r="E496" s="73">
        <v>175</v>
      </c>
      <c r="F496" s="73">
        <f t="shared" si="26"/>
        <v>2240</v>
      </c>
      <c r="G496" s="73">
        <f t="shared" si="27"/>
        <v>52479</v>
      </c>
    </row>
    <row r="497" spans="1:7" x14ac:dyDescent="0.2">
      <c r="A497" s="72">
        <v>494</v>
      </c>
      <c r="B497" s="74">
        <v>44413</v>
      </c>
      <c r="C497" s="73">
        <v>566</v>
      </c>
      <c r="D497" s="73">
        <f t="shared" si="25"/>
        <v>55285</v>
      </c>
      <c r="E497" s="73">
        <v>11</v>
      </c>
      <c r="F497" s="73">
        <f t="shared" si="26"/>
        <v>2795</v>
      </c>
      <c r="G497" s="73">
        <f t="shared" si="27"/>
        <v>52490</v>
      </c>
    </row>
    <row r="498" spans="1:7" x14ac:dyDescent="0.2">
      <c r="A498" s="72">
        <v>495</v>
      </c>
      <c r="B498" s="74">
        <v>44414</v>
      </c>
      <c r="C498" s="73">
        <v>119</v>
      </c>
      <c r="D498" s="73">
        <f t="shared" si="25"/>
        <v>55404</v>
      </c>
      <c r="E498" s="73">
        <v>640</v>
      </c>
      <c r="F498" s="73">
        <f t="shared" si="26"/>
        <v>2274</v>
      </c>
      <c r="G498" s="73">
        <f t="shared" si="27"/>
        <v>53130</v>
      </c>
    </row>
    <row r="499" spans="1:7" x14ac:dyDescent="0.2">
      <c r="A499" s="72">
        <v>496</v>
      </c>
      <c r="B499" s="74">
        <v>44415</v>
      </c>
      <c r="C499" s="73">
        <v>257</v>
      </c>
      <c r="D499" s="73">
        <f t="shared" si="25"/>
        <v>55661</v>
      </c>
      <c r="E499" s="73">
        <v>34</v>
      </c>
      <c r="F499" s="73">
        <f t="shared" si="26"/>
        <v>2497</v>
      </c>
      <c r="G499" s="73">
        <f t="shared" si="27"/>
        <v>53164</v>
      </c>
    </row>
    <row r="500" spans="1:7" x14ac:dyDescent="0.2">
      <c r="A500" s="72">
        <v>497</v>
      </c>
      <c r="B500" s="74">
        <v>44416</v>
      </c>
      <c r="C500" s="73">
        <v>15</v>
      </c>
      <c r="D500" s="73">
        <f t="shared" si="25"/>
        <v>55676</v>
      </c>
      <c r="E500" s="73">
        <v>18</v>
      </c>
      <c r="F500" s="73">
        <f t="shared" si="26"/>
        <v>2494</v>
      </c>
      <c r="G500" s="73">
        <f t="shared" si="27"/>
        <v>53182</v>
      </c>
    </row>
    <row r="501" spans="1:7" x14ac:dyDescent="0.2">
      <c r="A501" s="72">
        <v>498</v>
      </c>
      <c r="B501" s="74">
        <v>44417</v>
      </c>
      <c r="C501" s="73">
        <v>130</v>
      </c>
      <c r="D501" s="73">
        <f t="shared" si="25"/>
        <v>55806</v>
      </c>
      <c r="E501" s="73">
        <v>311</v>
      </c>
      <c r="F501" s="73">
        <f t="shared" si="26"/>
        <v>2313</v>
      </c>
      <c r="G501" s="73">
        <f t="shared" si="27"/>
        <v>53493</v>
      </c>
    </row>
    <row r="502" spans="1:7" x14ac:dyDescent="0.2">
      <c r="A502" s="72">
        <v>499</v>
      </c>
      <c r="B502" s="74">
        <v>44418</v>
      </c>
      <c r="C502" s="73">
        <v>130</v>
      </c>
      <c r="D502" s="73">
        <f t="shared" si="25"/>
        <v>55936</v>
      </c>
      <c r="E502" s="73">
        <v>610</v>
      </c>
      <c r="F502" s="73">
        <f t="shared" si="26"/>
        <v>1833</v>
      </c>
      <c r="G502" s="73">
        <f t="shared" si="27"/>
        <v>54103</v>
      </c>
    </row>
    <row r="503" spans="1:7" x14ac:dyDescent="0.2">
      <c r="A503" s="72">
        <v>500</v>
      </c>
      <c r="B503" s="74">
        <v>44419</v>
      </c>
      <c r="C503" s="73">
        <v>299</v>
      </c>
      <c r="D503" s="73">
        <f t="shared" si="25"/>
        <v>56235</v>
      </c>
      <c r="E503" s="73">
        <v>106</v>
      </c>
      <c r="F503" s="73">
        <f t="shared" si="26"/>
        <v>2026</v>
      </c>
      <c r="G503" s="73">
        <f t="shared" si="27"/>
        <v>54209</v>
      </c>
    </row>
    <row r="504" spans="1:7" x14ac:dyDescent="0.2">
      <c r="A504" s="72">
        <v>501</v>
      </c>
      <c r="B504" s="74">
        <v>44420</v>
      </c>
      <c r="C504" s="73">
        <v>200</v>
      </c>
      <c r="D504" s="73">
        <f t="shared" si="25"/>
        <v>56435</v>
      </c>
      <c r="E504" s="73">
        <v>29</v>
      </c>
      <c r="F504" s="73">
        <f t="shared" si="26"/>
        <v>2197</v>
      </c>
      <c r="G504" s="73">
        <f t="shared" si="27"/>
        <v>54238</v>
      </c>
    </row>
    <row r="505" spans="1:7" x14ac:dyDescent="0.2">
      <c r="A505" s="72">
        <v>502</v>
      </c>
      <c r="B505" s="74">
        <v>44421</v>
      </c>
      <c r="C505" s="73">
        <v>173</v>
      </c>
      <c r="D505" s="73">
        <f t="shared" si="25"/>
        <v>56608</v>
      </c>
      <c r="E505" s="73">
        <v>193</v>
      </c>
      <c r="F505" s="73">
        <f t="shared" si="26"/>
        <v>2177</v>
      </c>
      <c r="G505" s="73">
        <f t="shared" si="27"/>
        <v>54431</v>
      </c>
    </row>
    <row r="506" spans="1:7" x14ac:dyDescent="0.2">
      <c r="A506" s="72">
        <v>503</v>
      </c>
      <c r="B506" s="74">
        <v>44422</v>
      </c>
      <c r="C506" s="73">
        <v>213</v>
      </c>
      <c r="D506" s="73">
        <f t="shared" si="25"/>
        <v>56821</v>
      </c>
      <c r="E506" s="73">
        <v>209</v>
      </c>
      <c r="F506" s="73">
        <f t="shared" si="26"/>
        <v>2181</v>
      </c>
      <c r="G506" s="73">
        <f t="shared" si="27"/>
        <v>54640</v>
      </c>
    </row>
    <row r="507" spans="1:7" x14ac:dyDescent="0.2">
      <c r="A507" s="72">
        <v>504</v>
      </c>
      <c r="B507" s="74">
        <v>44423</v>
      </c>
      <c r="C507" s="73">
        <v>222</v>
      </c>
      <c r="D507" s="73">
        <f t="shared" si="25"/>
        <v>57043</v>
      </c>
      <c r="E507" s="73">
        <v>278</v>
      </c>
      <c r="F507" s="73">
        <f t="shared" si="26"/>
        <v>2125</v>
      </c>
      <c r="G507" s="73">
        <f t="shared" si="27"/>
        <v>54918</v>
      </c>
    </row>
    <row r="508" spans="1:7" x14ac:dyDescent="0.2">
      <c r="A508" s="72">
        <v>505</v>
      </c>
      <c r="B508" s="74">
        <v>44424</v>
      </c>
      <c r="C508" s="73">
        <v>252</v>
      </c>
      <c r="D508" s="73">
        <f t="shared" si="25"/>
        <v>57295</v>
      </c>
      <c r="E508" s="73">
        <v>19</v>
      </c>
      <c r="F508" s="73">
        <f t="shared" si="26"/>
        <v>2358</v>
      </c>
      <c r="G508" s="73">
        <f t="shared" si="27"/>
        <v>54937</v>
      </c>
    </row>
    <row r="509" spans="1:7" x14ac:dyDescent="0.2">
      <c r="A509" s="72">
        <v>506</v>
      </c>
      <c r="B509" s="74">
        <v>44425</v>
      </c>
      <c r="C509" s="73">
        <v>128</v>
      </c>
      <c r="D509" s="73">
        <f t="shared" si="25"/>
        <v>57423</v>
      </c>
      <c r="E509" s="73">
        <v>120</v>
      </c>
      <c r="F509" s="73">
        <f t="shared" si="26"/>
        <v>2366</v>
      </c>
      <c r="G509" s="73">
        <f t="shared" si="27"/>
        <v>55057</v>
      </c>
    </row>
    <row r="510" spans="1:7" x14ac:dyDescent="0.2">
      <c r="A510" s="72">
        <v>507</v>
      </c>
      <c r="B510" s="74">
        <v>44426</v>
      </c>
      <c r="C510" s="73">
        <v>769</v>
      </c>
      <c r="D510" s="73">
        <f t="shared" si="25"/>
        <v>58192</v>
      </c>
      <c r="E510" s="73">
        <v>314</v>
      </c>
      <c r="F510" s="73">
        <f t="shared" si="26"/>
        <v>2821</v>
      </c>
      <c r="G510" s="73">
        <f t="shared" si="27"/>
        <v>55371</v>
      </c>
    </row>
    <row r="511" spans="1:7" x14ac:dyDescent="0.2">
      <c r="A511" s="72">
        <v>508</v>
      </c>
      <c r="B511" s="74">
        <v>44427</v>
      </c>
      <c r="C511" s="73">
        <v>291</v>
      </c>
      <c r="D511" s="73">
        <f t="shared" si="25"/>
        <v>58483</v>
      </c>
      <c r="E511" s="73">
        <v>46</v>
      </c>
      <c r="F511" s="73">
        <f t="shared" si="26"/>
        <v>3066</v>
      </c>
      <c r="G511" s="73">
        <f t="shared" si="27"/>
        <v>55417</v>
      </c>
    </row>
    <row r="512" spans="1:7" x14ac:dyDescent="0.2">
      <c r="A512" s="72">
        <v>509</v>
      </c>
      <c r="B512" s="74">
        <v>44428</v>
      </c>
      <c r="C512" s="73">
        <v>712</v>
      </c>
      <c r="D512" s="73">
        <f t="shared" si="25"/>
        <v>59195</v>
      </c>
      <c r="E512" s="73">
        <v>643</v>
      </c>
      <c r="F512" s="73">
        <f t="shared" si="26"/>
        <v>3135</v>
      </c>
      <c r="G512" s="73">
        <f t="shared" si="27"/>
        <v>56060</v>
      </c>
    </row>
    <row r="513" spans="1:14" x14ac:dyDescent="0.2">
      <c r="A513" s="72">
        <v>510</v>
      </c>
      <c r="B513" s="74">
        <v>44429</v>
      </c>
      <c r="C513" s="73">
        <v>134</v>
      </c>
      <c r="D513" s="73">
        <f t="shared" si="25"/>
        <v>59329</v>
      </c>
      <c r="E513" s="73">
        <v>68</v>
      </c>
      <c r="F513" s="73">
        <f t="shared" si="26"/>
        <v>3201</v>
      </c>
      <c r="G513" s="73">
        <f t="shared" si="27"/>
        <v>56128</v>
      </c>
    </row>
    <row r="514" spans="1:14" x14ac:dyDescent="0.2">
      <c r="A514" s="72">
        <v>511</v>
      </c>
      <c r="B514" s="74">
        <v>44430</v>
      </c>
      <c r="C514" s="73">
        <v>487</v>
      </c>
      <c r="D514" s="73">
        <f t="shared" si="25"/>
        <v>59816</v>
      </c>
      <c r="E514" s="73">
        <v>48</v>
      </c>
      <c r="F514" s="73">
        <f t="shared" si="26"/>
        <v>3640</v>
      </c>
      <c r="G514" s="73">
        <f t="shared" si="27"/>
        <v>56176</v>
      </c>
    </row>
    <row r="515" spans="1:14" x14ac:dyDescent="0.2">
      <c r="A515" s="72">
        <v>512</v>
      </c>
      <c r="B515" s="74">
        <v>44431</v>
      </c>
      <c r="C515" s="73">
        <v>265</v>
      </c>
      <c r="D515" s="73">
        <f t="shared" si="25"/>
        <v>60081</v>
      </c>
      <c r="E515" s="73">
        <v>96</v>
      </c>
      <c r="F515" s="73">
        <f t="shared" si="26"/>
        <v>3809</v>
      </c>
      <c r="G515" s="73">
        <f t="shared" si="27"/>
        <v>56272</v>
      </c>
    </row>
    <row r="516" spans="1:14" x14ac:dyDescent="0.2">
      <c r="A516" s="72">
        <v>513</v>
      </c>
      <c r="B516" s="74">
        <v>44432</v>
      </c>
      <c r="C516" s="73">
        <v>335</v>
      </c>
      <c r="D516" s="73">
        <f t="shared" si="25"/>
        <v>60416</v>
      </c>
      <c r="E516" s="73">
        <v>307</v>
      </c>
      <c r="F516" s="73">
        <f t="shared" si="26"/>
        <v>3837</v>
      </c>
      <c r="G516" s="73">
        <f t="shared" si="27"/>
        <v>56579</v>
      </c>
    </row>
    <row r="517" spans="1:14" x14ac:dyDescent="0.2">
      <c r="A517" s="72">
        <v>514</v>
      </c>
      <c r="B517" s="74">
        <v>44433</v>
      </c>
      <c r="C517" s="73">
        <v>400</v>
      </c>
      <c r="D517" s="73">
        <f t="shared" si="25"/>
        <v>60816</v>
      </c>
      <c r="E517" s="73">
        <v>122</v>
      </c>
      <c r="F517" s="73">
        <f t="shared" si="26"/>
        <v>4115</v>
      </c>
      <c r="G517" s="73">
        <f t="shared" si="27"/>
        <v>56701</v>
      </c>
    </row>
    <row r="518" spans="1:14" x14ac:dyDescent="0.2">
      <c r="A518" s="72">
        <v>515</v>
      </c>
      <c r="B518" s="74">
        <v>44434</v>
      </c>
      <c r="C518" s="73">
        <v>90</v>
      </c>
      <c r="D518" s="73">
        <f t="shared" si="25"/>
        <v>60906</v>
      </c>
      <c r="E518" s="73">
        <v>200</v>
      </c>
      <c r="F518" s="73">
        <f t="shared" si="26"/>
        <v>4005</v>
      </c>
      <c r="G518" s="73">
        <f t="shared" si="27"/>
        <v>56901</v>
      </c>
    </row>
    <row r="519" spans="1:14" x14ac:dyDescent="0.2">
      <c r="A519" s="72">
        <v>516</v>
      </c>
      <c r="B519" s="74">
        <v>44435</v>
      </c>
      <c r="C519" s="73">
        <v>987</v>
      </c>
      <c r="D519" s="73">
        <f t="shared" si="25"/>
        <v>61893</v>
      </c>
      <c r="E519" s="73">
        <v>173</v>
      </c>
      <c r="F519" s="73">
        <f t="shared" si="26"/>
        <v>4819</v>
      </c>
      <c r="G519" s="73">
        <f t="shared" si="27"/>
        <v>57074</v>
      </c>
    </row>
    <row r="520" spans="1:14" x14ac:dyDescent="0.2">
      <c r="A520" s="72">
        <v>517</v>
      </c>
      <c r="B520" s="74">
        <v>44436</v>
      </c>
      <c r="C520" s="73">
        <v>381</v>
      </c>
      <c r="D520" s="73">
        <f t="shared" si="25"/>
        <v>62274</v>
      </c>
      <c r="E520" s="73">
        <v>287</v>
      </c>
      <c r="F520" s="73">
        <f t="shared" si="26"/>
        <v>4913</v>
      </c>
      <c r="G520" s="73">
        <f t="shared" si="27"/>
        <v>57361</v>
      </c>
    </row>
    <row r="521" spans="1:14" x14ac:dyDescent="0.2">
      <c r="A521" s="72">
        <v>518</v>
      </c>
      <c r="B521" s="74">
        <v>44437</v>
      </c>
      <c r="C521" s="73">
        <v>136</v>
      </c>
      <c r="D521" s="73">
        <f t="shared" si="25"/>
        <v>62410</v>
      </c>
      <c r="E521" s="73">
        <v>148</v>
      </c>
      <c r="F521" s="73">
        <f t="shared" si="26"/>
        <v>4901</v>
      </c>
      <c r="G521" s="73">
        <f t="shared" si="27"/>
        <v>57509</v>
      </c>
      <c r="J521" s="96"/>
      <c r="K521" s="96"/>
      <c r="L521" s="96"/>
      <c r="M521" s="96"/>
      <c r="N521" s="96"/>
    </row>
    <row r="522" spans="1:14" ht="15.75" x14ac:dyDescent="0.25">
      <c r="A522" s="72">
        <v>519</v>
      </c>
      <c r="B522" s="74">
        <v>44438</v>
      </c>
      <c r="C522" s="73">
        <v>320</v>
      </c>
      <c r="D522" s="73">
        <f t="shared" si="25"/>
        <v>62730</v>
      </c>
      <c r="E522" s="73">
        <v>252</v>
      </c>
      <c r="F522" s="73">
        <f t="shared" si="26"/>
        <v>4969</v>
      </c>
      <c r="G522" s="73">
        <f t="shared" si="27"/>
        <v>57761</v>
      </c>
      <c r="J522" s="96"/>
      <c r="K522" s="96"/>
      <c r="L522" s="97"/>
      <c r="M522" s="98"/>
      <c r="N522" s="96"/>
    </row>
    <row r="523" spans="1:14" ht="15.75" x14ac:dyDescent="0.25">
      <c r="A523" s="72">
        <v>520</v>
      </c>
      <c r="B523" s="74">
        <v>44439</v>
      </c>
      <c r="C523" s="73">
        <v>361</v>
      </c>
      <c r="D523" s="73">
        <f t="shared" si="25"/>
        <v>63091</v>
      </c>
      <c r="E523" s="73">
        <v>381</v>
      </c>
      <c r="F523" s="73">
        <f t="shared" si="26"/>
        <v>4949</v>
      </c>
      <c r="G523" s="73">
        <f t="shared" si="27"/>
        <v>58142</v>
      </c>
      <c r="J523" s="96"/>
      <c r="K523" s="96"/>
      <c r="L523" s="97"/>
      <c r="M523" s="98"/>
      <c r="N523" s="96"/>
    </row>
    <row r="524" spans="1:14" ht="15.75" x14ac:dyDescent="0.25">
      <c r="A524" s="72">
        <v>521</v>
      </c>
      <c r="B524" s="74">
        <v>44440</v>
      </c>
      <c r="C524" s="73">
        <v>534</v>
      </c>
      <c r="D524" s="73">
        <f t="shared" si="25"/>
        <v>63625</v>
      </c>
      <c r="E524" s="73">
        <v>533</v>
      </c>
      <c r="F524" s="73">
        <f t="shared" si="26"/>
        <v>4950</v>
      </c>
      <c r="G524" s="73">
        <f t="shared" si="27"/>
        <v>58675</v>
      </c>
      <c r="J524" s="96"/>
      <c r="K524" s="96"/>
      <c r="L524" s="97"/>
      <c r="M524" s="98"/>
      <c r="N524" s="96"/>
    </row>
    <row r="525" spans="1:14" ht="15.75" x14ac:dyDescent="0.25">
      <c r="A525" s="72">
        <v>522</v>
      </c>
      <c r="B525" s="74">
        <v>44441</v>
      </c>
      <c r="C525" s="73">
        <v>232</v>
      </c>
      <c r="D525" s="73">
        <f t="shared" si="25"/>
        <v>63857</v>
      </c>
      <c r="E525" s="73">
        <v>694</v>
      </c>
      <c r="F525" s="73">
        <f t="shared" si="26"/>
        <v>4488</v>
      </c>
      <c r="G525" s="73">
        <f t="shared" si="27"/>
        <v>59369</v>
      </c>
      <c r="J525" s="96"/>
      <c r="K525" s="96"/>
      <c r="L525" s="97"/>
      <c r="M525" s="98"/>
      <c r="N525" s="96"/>
    </row>
    <row r="526" spans="1:14" ht="15.75" x14ac:dyDescent="0.25">
      <c r="A526" s="72">
        <v>523</v>
      </c>
      <c r="B526" s="74">
        <v>44442</v>
      </c>
      <c r="C526" s="73">
        <v>335</v>
      </c>
      <c r="D526" s="73">
        <f t="shared" si="25"/>
        <v>64192</v>
      </c>
      <c r="E526" s="73">
        <v>502</v>
      </c>
      <c r="F526" s="73">
        <f t="shared" si="26"/>
        <v>4321</v>
      </c>
      <c r="G526" s="73">
        <f t="shared" si="27"/>
        <v>59871</v>
      </c>
      <c r="J526" s="96"/>
      <c r="K526" s="97"/>
      <c r="L526" s="97"/>
      <c r="M526" s="98"/>
      <c r="N526" s="96"/>
    </row>
    <row r="527" spans="1:14" ht="15.75" x14ac:dyDescent="0.25">
      <c r="A527" s="72">
        <v>524</v>
      </c>
      <c r="B527" s="74">
        <v>44443</v>
      </c>
      <c r="C527" s="73">
        <v>325</v>
      </c>
      <c r="D527" s="73">
        <f t="shared" si="25"/>
        <v>64517</v>
      </c>
      <c r="E527" s="73">
        <v>695</v>
      </c>
      <c r="F527" s="73">
        <f t="shared" si="26"/>
        <v>3951</v>
      </c>
      <c r="G527" s="73">
        <f t="shared" si="27"/>
        <v>60566</v>
      </c>
      <c r="J527" s="96"/>
      <c r="K527" s="97"/>
      <c r="L527" s="98"/>
      <c r="M527" s="96"/>
      <c r="N527" s="96"/>
    </row>
    <row r="528" spans="1:14" ht="15.75" x14ac:dyDescent="0.25">
      <c r="A528" s="72">
        <v>525</v>
      </c>
      <c r="B528" s="74">
        <v>44444</v>
      </c>
      <c r="C528" s="73">
        <v>54</v>
      </c>
      <c r="D528" s="73">
        <f t="shared" si="25"/>
        <v>64571</v>
      </c>
      <c r="E528" s="73">
        <v>831</v>
      </c>
      <c r="F528" s="73">
        <f t="shared" si="26"/>
        <v>3174</v>
      </c>
      <c r="G528" s="73">
        <f t="shared" si="27"/>
        <v>61397</v>
      </c>
      <c r="J528" s="96"/>
      <c r="K528" s="97"/>
      <c r="L528" s="98"/>
      <c r="M528" s="96"/>
      <c r="N528" s="96"/>
    </row>
    <row r="529" spans="1:14" ht="15.75" x14ac:dyDescent="0.25">
      <c r="A529" s="72">
        <v>526</v>
      </c>
      <c r="B529" s="74">
        <v>44445</v>
      </c>
      <c r="C529" s="73">
        <v>449</v>
      </c>
      <c r="D529" s="73">
        <f t="shared" si="25"/>
        <v>65020</v>
      </c>
      <c r="E529" s="73">
        <v>1845</v>
      </c>
      <c r="F529" s="73">
        <f t="shared" si="26"/>
        <v>1778</v>
      </c>
      <c r="G529" s="73">
        <f t="shared" si="27"/>
        <v>63242</v>
      </c>
      <c r="J529" s="96"/>
      <c r="K529" s="97"/>
      <c r="L529" s="98"/>
      <c r="M529" s="96"/>
      <c r="N529" s="96"/>
    </row>
    <row r="530" spans="1:14" ht="15.75" x14ac:dyDescent="0.25">
      <c r="A530" s="72">
        <v>527</v>
      </c>
      <c r="B530" s="74">
        <v>44446</v>
      </c>
      <c r="C530" s="73">
        <v>231</v>
      </c>
      <c r="D530" s="73">
        <f t="shared" ref="D530" si="28">D529+C530</f>
        <v>65251</v>
      </c>
      <c r="E530" s="73">
        <v>326</v>
      </c>
      <c r="F530" s="73">
        <f t="shared" ref="F530" si="29">F529+C530-E530</f>
        <v>1683</v>
      </c>
      <c r="G530" s="73">
        <f t="shared" ref="G530" si="30">G529+E530</f>
        <v>63568</v>
      </c>
      <c r="J530" s="96"/>
      <c r="K530" s="96"/>
      <c r="L530" s="97"/>
      <c r="M530" s="98"/>
      <c r="N530" s="96"/>
    </row>
    <row r="531" spans="1:14" ht="15.75" x14ac:dyDescent="0.25">
      <c r="A531" s="72">
        <v>528</v>
      </c>
      <c r="B531" s="74">
        <v>44447</v>
      </c>
      <c r="C531" s="73">
        <v>179</v>
      </c>
      <c r="D531" s="73">
        <f t="shared" ref="D531:D536" si="31">G531+F531</f>
        <v>65466</v>
      </c>
      <c r="E531" s="73">
        <v>184</v>
      </c>
      <c r="F531" s="73">
        <v>1678</v>
      </c>
      <c r="G531" s="73">
        <v>63788</v>
      </c>
      <c r="J531" s="96"/>
      <c r="K531" s="96"/>
      <c r="L531" s="97"/>
      <c r="M531" s="98"/>
      <c r="N531" s="96"/>
    </row>
    <row r="532" spans="1:14" ht="15.75" x14ac:dyDescent="0.25">
      <c r="A532" s="72">
        <v>529</v>
      </c>
      <c r="B532" s="74">
        <v>44448</v>
      </c>
      <c r="C532" s="73">
        <v>76</v>
      </c>
      <c r="D532" s="73">
        <f t="shared" si="31"/>
        <v>65558</v>
      </c>
      <c r="E532" s="73">
        <v>274</v>
      </c>
      <c r="F532" s="73">
        <v>1480</v>
      </c>
      <c r="G532" s="73">
        <v>64078</v>
      </c>
      <c r="J532" s="96"/>
      <c r="K532" s="97"/>
      <c r="L532" s="98"/>
      <c r="M532" s="98"/>
      <c r="N532" s="96"/>
    </row>
    <row r="533" spans="1:14" ht="15.75" x14ac:dyDescent="0.25">
      <c r="A533" s="72">
        <v>530</v>
      </c>
      <c r="B533" s="74">
        <v>44449</v>
      </c>
      <c r="C533" s="73">
        <v>68</v>
      </c>
      <c r="D533" s="73">
        <f t="shared" si="31"/>
        <v>65654</v>
      </c>
      <c r="E533" s="73">
        <v>116</v>
      </c>
      <c r="F533" s="73">
        <v>1432</v>
      </c>
      <c r="G533" s="73">
        <v>64222</v>
      </c>
      <c r="J533" s="96"/>
      <c r="K533" s="97"/>
      <c r="L533" s="98"/>
      <c r="M533" s="98"/>
      <c r="N533" s="96"/>
    </row>
    <row r="534" spans="1:14" ht="15.75" x14ac:dyDescent="0.25">
      <c r="A534" s="72">
        <v>531</v>
      </c>
      <c r="B534" s="74">
        <v>44450</v>
      </c>
      <c r="C534" s="73">
        <v>38</v>
      </c>
      <c r="D534" s="73">
        <f t="shared" si="31"/>
        <v>65691</v>
      </c>
      <c r="E534" s="73">
        <v>237</v>
      </c>
      <c r="F534" s="73">
        <f>F533-E534+C534</f>
        <v>1233</v>
      </c>
      <c r="G534" s="73">
        <v>64458</v>
      </c>
      <c r="I534" s="96"/>
      <c r="J534" s="96"/>
      <c r="K534" s="97"/>
      <c r="L534" s="98"/>
      <c r="M534" s="96"/>
      <c r="N534" s="96"/>
    </row>
    <row r="535" spans="1:14" ht="15.75" x14ac:dyDescent="0.25">
      <c r="A535" s="72">
        <v>532</v>
      </c>
      <c r="B535" s="74">
        <v>44451</v>
      </c>
      <c r="C535" s="73">
        <v>44</v>
      </c>
      <c r="D535" s="73">
        <f t="shared" si="31"/>
        <v>65861</v>
      </c>
      <c r="E535" s="73">
        <v>52</v>
      </c>
      <c r="F535" s="73">
        <f>F534-E535+C535</f>
        <v>1225</v>
      </c>
      <c r="G535" s="73">
        <v>64636</v>
      </c>
      <c r="I535" s="96"/>
      <c r="J535" s="96"/>
      <c r="K535" s="97"/>
      <c r="L535" s="98"/>
      <c r="M535" s="96"/>
      <c r="N535" s="96"/>
    </row>
    <row r="536" spans="1:14" ht="15.75" x14ac:dyDescent="0.25">
      <c r="A536" s="72">
        <v>533</v>
      </c>
      <c r="B536" s="74">
        <v>44452</v>
      </c>
      <c r="C536" s="73">
        <v>15</v>
      </c>
      <c r="D536" s="73">
        <f t="shared" si="31"/>
        <v>65633</v>
      </c>
      <c r="E536" s="73">
        <v>244</v>
      </c>
      <c r="F536" s="73">
        <f>F535-E536+C536</f>
        <v>996</v>
      </c>
      <c r="G536" s="73">
        <v>64637</v>
      </c>
      <c r="I536" s="96"/>
      <c r="J536" s="97"/>
      <c r="K536" s="98"/>
      <c r="L536" s="96"/>
      <c r="M536" s="96"/>
      <c r="N536" s="96"/>
    </row>
    <row r="537" spans="1:14" ht="15.75" x14ac:dyDescent="0.25">
      <c r="A537" s="72">
        <v>534</v>
      </c>
      <c r="B537" s="74">
        <v>44453</v>
      </c>
      <c r="C537" s="73">
        <v>0</v>
      </c>
      <c r="D537" s="73">
        <f t="shared" ref="D537:D538" si="32">G537+F537</f>
        <v>65633</v>
      </c>
      <c r="E537" s="73">
        <v>0</v>
      </c>
      <c r="F537" s="73">
        <f t="shared" ref="F537:F538" si="33">F536-E537+C537</f>
        <v>996</v>
      </c>
      <c r="G537" s="73">
        <v>64637</v>
      </c>
      <c r="I537" s="96"/>
      <c r="J537" s="97"/>
      <c r="K537" s="98"/>
      <c r="L537" s="98"/>
      <c r="M537" s="96"/>
      <c r="N537" s="96"/>
    </row>
    <row r="538" spans="1:14" ht="15.75" x14ac:dyDescent="0.25">
      <c r="A538" s="72">
        <v>535</v>
      </c>
      <c r="B538" s="74">
        <v>44454</v>
      </c>
      <c r="C538" s="73">
        <v>25</v>
      </c>
      <c r="D538" s="73">
        <f t="shared" si="32"/>
        <v>65962</v>
      </c>
      <c r="E538" s="73">
        <v>271</v>
      </c>
      <c r="F538" s="73">
        <f t="shared" si="33"/>
        <v>750</v>
      </c>
      <c r="G538" s="73">
        <v>65212</v>
      </c>
      <c r="I538" s="96"/>
      <c r="J538" s="97"/>
      <c r="K538" s="98"/>
      <c r="L538" s="98"/>
      <c r="M538"/>
      <c r="N538"/>
    </row>
    <row r="539" spans="1:14" ht="15.75" x14ac:dyDescent="0.25">
      <c r="A539" s="72">
        <v>536</v>
      </c>
      <c r="B539" s="74">
        <v>44455</v>
      </c>
      <c r="C539" s="73">
        <v>28</v>
      </c>
      <c r="D539" s="73">
        <f t="shared" ref="D539" si="34">G539+F539</f>
        <v>66012</v>
      </c>
      <c r="E539" s="73">
        <v>188</v>
      </c>
      <c r="F539" s="73">
        <v>591</v>
      </c>
      <c r="G539" s="73">
        <v>65421</v>
      </c>
      <c r="I539" s="96"/>
      <c r="J539" s="98"/>
      <c r="K539" s="98"/>
      <c r="L539" s="98"/>
      <c r="M539"/>
      <c r="N539"/>
    </row>
    <row r="540" spans="1:14" ht="15.75" x14ac:dyDescent="0.25">
      <c r="A540" s="72">
        <v>537</v>
      </c>
      <c r="B540" s="74">
        <v>44456</v>
      </c>
      <c r="C540" s="73">
        <v>3</v>
      </c>
      <c r="D540" s="73">
        <f t="shared" ref="D540" si="35">G540+F540</f>
        <v>66052</v>
      </c>
      <c r="E540" s="73">
        <v>188</v>
      </c>
      <c r="F540" s="73">
        <v>406</v>
      </c>
      <c r="G540" s="73">
        <v>65646</v>
      </c>
      <c r="I540" s="96"/>
      <c r="J540" s="98"/>
      <c r="K540" s="98"/>
      <c r="L540" s="98"/>
      <c r="M540"/>
      <c r="N540"/>
    </row>
    <row r="541" spans="1:14" ht="15.75" x14ac:dyDescent="0.25">
      <c r="A541" s="72">
        <v>538</v>
      </c>
      <c r="B541" s="74">
        <v>44457</v>
      </c>
      <c r="C541" s="73">
        <v>23</v>
      </c>
      <c r="D541" s="73">
        <f t="shared" ref="D541" si="36">G541+F541</f>
        <v>66108</v>
      </c>
      <c r="E541" s="73">
        <v>55</v>
      </c>
      <c r="F541" s="73">
        <v>374</v>
      </c>
      <c r="G541" s="73">
        <v>65734</v>
      </c>
      <c r="I541" s="96"/>
      <c r="J541" s="98"/>
      <c r="K541" s="98"/>
      <c r="L541" s="98"/>
      <c r="M541" s="98"/>
      <c r="N541"/>
    </row>
    <row r="542" spans="1:14" ht="15.75" x14ac:dyDescent="0.25">
      <c r="A542" s="72">
        <v>539</v>
      </c>
      <c r="B542" s="74">
        <v>44458</v>
      </c>
      <c r="C542" s="73">
        <v>9</v>
      </c>
      <c r="D542" s="73">
        <f t="shared" ref="D542" si="37">G542+F542</f>
        <v>66112</v>
      </c>
      <c r="E542" s="73">
        <v>25</v>
      </c>
      <c r="F542" s="73">
        <v>358</v>
      </c>
      <c r="G542" s="73">
        <v>65754</v>
      </c>
      <c r="I542" s="96"/>
      <c r="J542" s="97"/>
      <c r="K542" s="98"/>
      <c r="L542" s="98"/>
      <c r="M542" s="98"/>
      <c r="N542"/>
    </row>
    <row r="543" spans="1:14" ht="15.75" x14ac:dyDescent="0.25">
      <c r="A543" s="72">
        <v>540</v>
      </c>
      <c r="B543" s="74">
        <v>44459</v>
      </c>
      <c r="C543" s="73">
        <v>24</v>
      </c>
      <c r="D543" s="73">
        <f t="shared" ref="D543" si="38">G543+F543</f>
        <v>66137</v>
      </c>
      <c r="E543" s="73">
        <v>101</v>
      </c>
      <c r="F543" s="73">
        <v>281</v>
      </c>
      <c r="G543" s="73">
        <v>65856</v>
      </c>
      <c r="I543" s="96"/>
      <c r="J543" s="97"/>
      <c r="K543" s="98"/>
      <c r="L543" s="98"/>
      <c r="M543" s="98"/>
      <c r="N543"/>
    </row>
    <row r="544" spans="1:14" ht="15.75" x14ac:dyDescent="0.25">
      <c r="A544" s="72">
        <v>541</v>
      </c>
      <c r="B544" s="74">
        <v>44460</v>
      </c>
      <c r="C544" s="73">
        <v>16</v>
      </c>
      <c r="D544" s="73">
        <f t="shared" ref="D544" si="39">G544+F544</f>
        <v>66177</v>
      </c>
      <c r="E544" s="73">
        <v>107</v>
      </c>
      <c r="F544" s="73">
        <v>190</v>
      </c>
      <c r="G544" s="73">
        <v>65987</v>
      </c>
      <c r="I544" s="96"/>
      <c r="J544"/>
      <c r="K544"/>
      <c r="L544"/>
      <c r="M544" s="98"/>
      <c r="N544"/>
    </row>
    <row r="545" spans="1:14" ht="15.75" x14ac:dyDescent="0.25">
      <c r="A545" s="72">
        <v>542</v>
      </c>
      <c r="B545" s="74">
        <v>44461</v>
      </c>
      <c r="C545" s="73">
        <v>19</v>
      </c>
      <c r="D545" s="73">
        <f t="shared" ref="D545" si="40">G545+F545</f>
        <v>66206</v>
      </c>
      <c r="E545" s="73">
        <v>115</v>
      </c>
      <c r="F545" s="73">
        <v>94</v>
      </c>
      <c r="G545" s="73">
        <v>66112</v>
      </c>
      <c r="I545" s="96"/>
      <c r="J545"/>
      <c r="K545"/>
      <c r="L545"/>
      <c r="M545" s="100"/>
      <c r="N545" s="99"/>
    </row>
    <row r="546" spans="1:14" ht="15.75" x14ac:dyDescent="0.25">
      <c r="A546" s="72">
        <v>543</v>
      </c>
      <c r="B546" s="74">
        <v>44462</v>
      </c>
      <c r="C546" s="73">
        <v>12</v>
      </c>
      <c r="D546" s="73">
        <f t="shared" ref="D546" si="41">G546+F546</f>
        <v>66217</v>
      </c>
      <c r="E546" s="73">
        <v>42</v>
      </c>
      <c r="F546" s="73">
        <v>64</v>
      </c>
      <c r="G546" s="73">
        <v>66153</v>
      </c>
      <c r="I546" s="96"/>
      <c r="J546"/>
      <c r="K546"/>
      <c r="L546"/>
      <c r="M546" s="98"/>
      <c r="N546"/>
    </row>
    <row r="547" spans="1:14" ht="15.75" x14ac:dyDescent="0.25">
      <c r="A547" s="72">
        <v>544</v>
      </c>
      <c r="B547" s="74">
        <v>44463</v>
      </c>
      <c r="C547" s="73">
        <v>0</v>
      </c>
      <c r="D547" s="73">
        <f t="shared" ref="D547" si="42">G547+F547</f>
        <v>66217</v>
      </c>
      <c r="E547" s="73">
        <v>0</v>
      </c>
      <c r="F547" s="73">
        <v>64</v>
      </c>
      <c r="G547" s="73">
        <v>66153</v>
      </c>
      <c r="I547" s="96"/>
      <c r="J547"/>
      <c r="K547"/>
      <c r="L547"/>
      <c r="M547" s="98"/>
    </row>
    <row r="548" spans="1:14" ht="15.75" x14ac:dyDescent="0.25">
      <c r="A548" s="72">
        <v>545</v>
      </c>
      <c r="B548" s="74">
        <v>44464</v>
      </c>
      <c r="C548" s="73">
        <v>43</v>
      </c>
      <c r="D548" s="73">
        <f t="shared" ref="D548" si="43">G548+F548</f>
        <v>66256</v>
      </c>
      <c r="E548" s="73">
        <v>22</v>
      </c>
      <c r="F548" s="73">
        <v>85</v>
      </c>
      <c r="G548" s="73">
        <v>66171</v>
      </c>
      <c r="I548" s="96"/>
      <c r="J548"/>
      <c r="K548"/>
      <c r="L548"/>
      <c r="M548" s="98"/>
    </row>
    <row r="549" spans="1:14" ht="15.75" x14ac:dyDescent="0.25">
      <c r="A549" s="72">
        <v>546</v>
      </c>
      <c r="B549" s="74">
        <v>44465</v>
      </c>
      <c r="C549" s="73">
        <v>0</v>
      </c>
      <c r="D549" s="73">
        <f t="shared" ref="D549" si="44">G549+F549</f>
        <v>66256</v>
      </c>
      <c r="E549" s="73">
        <v>0</v>
      </c>
      <c r="F549" s="73">
        <v>85</v>
      </c>
      <c r="G549" s="73">
        <v>66171</v>
      </c>
      <c r="I549" s="96"/>
      <c r="J549"/>
      <c r="K549"/>
      <c r="L549"/>
      <c r="M549" s="98"/>
    </row>
    <row r="550" spans="1:14" ht="15.75" x14ac:dyDescent="0.25">
      <c r="A550" s="72">
        <v>547</v>
      </c>
      <c r="B550" s="74">
        <v>44466</v>
      </c>
      <c r="C550" s="73">
        <v>42</v>
      </c>
      <c r="D550" s="73">
        <f t="shared" ref="D550" si="45">G550+F550</f>
        <v>66311</v>
      </c>
      <c r="E550" s="73">
        <v>3</v>
      </c>
      <c r="F550" s="73">
        <v>124</v>
      </c>
      <c r="G550" s="73">
        <v>66187</v>
      </c>
      <c r="I550" s="96"/>
      <c r="J550"/>
      <c r="K550"/>
      <c r="L550"/>
      <c r="M550" s="101"/>
      <c r="N550" s="102"/>
    </row>
    <row r="551" spans="1:14" ht="15.75" x14ac:dyDescent="0.25">
      <c r="A551" s="72">
        <v>548</v>
      </c>
      <c r="B551" s="74">
        <v>44467</v>
      </c>
      <c r="C551" s="73">
        <v>57</v>
      </c>
      <c r="D551" s="73">
        <f t="shared" ref="D551" si="46">G551+F551</f>
        <v>66396</v>
      </c>
      <c r="E551" s="73">
        <v>44</v>
      </c>
      <c r="F551" s="73">
        <v>137</v>
      </c>
      <c r="G551" s="73">
        <v>66259</v>
      </c>
      <c r="I551" s="96"/>
      <c r="J551"/>
      <c r="K551"/>
      <c r="L551"/>
      <c r="M551" s="96"/>
    </row>
    <row r="552" spans="1:14" ht="15.75" x14ac:dyDescent="0.25">
      <c r="A552" s="72">
        <v>549</v>
      </c>
      <c r="B552" s="74">
        <v>44468</v>
      </c>
      <c r="C552" s="73">
        <v>77</v>
      </c>
      <c r="D552" s="73">
        <f t="shared" ref="D552" si="47">G552+F552</f>
        <v>66501</v>
      </c>
      <c r="E552" s="73">
        <v>43</v>
      </c>
      <c r="F552" s="73">
        <v>171</v>
      </c>
      <c r="G552" s="73">
        <v>66330</v>
      </c>
      <c r="J552"/>
      <c r="K552"/>
      <c r="L552"/>
      <c r="M552" s="102"/>
      <c r="N552" s="102"/>
    </row>
    <row r="553" spans="1:14" ht="15.75" x14ac:dyDescent="0.25">
      <c r="A553" s="72">
        <v>550</v>
      </c>
      <c r="B553" s="74">
        <v>44469</v>
      </c>
      <c r="C553" s="73">
        <v>78</v>
      </c>
      <c r="D553" s="73">
        <f t="shared" ref="D553" si="48">G553+F553</f>
        <v>66627</v>
      </c>
      <c r="E553" s="73">
        <v>4</v>
      </c>
      <c r="F553" s="73">
        <v>252</v>
      </c>
      <c r="G553" s="73">
        <v>66375</v>
      </c>
      <c r="J553"/>
      <c r="K553"/>
      <c r="L553"/>
      <c r="M553" s="102"/>
      <c r="N553" s="102"/>
    </row>
    <row r="554" spans="1:14" ht="15.75" x14ac:dyDescent="0.25">
      <c r="A554" s="72">
        <v>551</v>
      </c>
      <c r="B554" s="74">
        <v>44470</v>
      </c>
      <c r="C554" s="73">
        <v>46</v>
      </c>
      <c r="D554" s="73">
        <f t="shared" ref="D554" si="49">G554+F554</f>
        <v>66668</v>
      </c>
      <c r="E554" s="73">
        <v>31</v>
      </c>
      <c r="F554" s="73">
        <v>267</v>
      </c>
      <c r="G554" s="73">
        <v>66401</v>
      </c>
      <c r="J554"/>
      <c r="K554"/>
      <c r="L554"/>
      <c r="M554" s="102"/>
      <c r="N554" s="102"/>
    </row>
    <row r="555" spans="1:14" ht="15.75" x14ac:dyDescent="0.25">
      <c r="A555" s="72">
        <v>552</v>
      </c>
      <c r="B555" s="74">
        <v>44471</v>
      </c>
      <c r="C555" s="73">
        <v>0</v>
      </c>
      <c r="D555" s="73">
        <f t="shared" ref="D555" si="50">G555+F555</f>
        <v>66668</v>
      </c>
      <c r="E555" s="73">
        <v>0</v>
      </c>
      <c r="F555" s="73">
        <v>267</v>
      </c>
      <c r="G555" s="73">
        <v>66401</v>
      </c>
      <c r="J555"/>
      <c r="K555"/>
      <c r="L555"/>
      <c r="M555"/>
    </row>
    <row r="556" spans="1:14" ht="15.75" x14ac:dyDescent="0.25">
      <c r="A556" s="72">
        <v>553</v>
      </c>
      <c r="B556" s="74">
        <v>44472</v>
      </c>
      <c r="C556" s="73">
        <v>37</v>
      </c>
      <c r="D556" s="73">
        <f t="shared" ref="D556" si="51">G556+F556</f>
        <v>66755</v>
      </c>
      <c r="E556" s="73">
        <v>38</v>
      </c>
      <c r="F556" s="73">
        <v>266</v>
      </c>
      <c r="G556" s="73">
        <v>66489</v>
      </c>
      <c r="J556"/>
      <c r="K556"/>
      <c r="L556"/>
      <c r="M556" s="99"/>
      <c r="N556" s="102"/>
    </row>
    <row r="557" spans="1:14" ht="15.75" x14ac:dyDescent="0.25">
      <c r="A557" s="72">
        <v>554</v>
      </c>
      <c r="B557" s="74">
        <v>44473</v>
      </c>
      <c r="C557" s="73">
        <v>56</v>
      </c>
      <c r="D557" s="73">
        <f t="shared" ref="D557" si="52">G557+F557</f>
        <v>66802</v>
      </c>
      <c r="E557" s="73">
        <v>65</v>
      </c>
      <c r="F557" s="73">
        <v>272</v>
      </c>
      <c r="G557" s="73">
        <v>66530</v>
      </c>
      <c r="J557"/>
      <c r="K557"/>
      <c r="L557"/>
      <c r="M557"/>
    </row>
    <row r="558" spans="1:14" ht="15.75" x14ac:dyDescent="0.25">
      <c r="A558" s="72">
        <v>555</v>
      </c>
      <c r="B558" s="74">
        <v>44474</v>
      </c>
      <c r="C558" s="73">
        <v>50</v>
      </c>
      <c r="D558" s="73">
        <f t="shared" ref="D558" si="53">G558+F558</f>
        <v>66852</v>
      </c>
      <c r="E558" s="73">
        <v>34</v>
      </c>
      <c r="F558" s="73">
        <v>288</v>
      </c>
      <c r="G558" s="73">
        <v>66564</v>
      </c>
      <c r="J558"/>
      <c r="K558"/>
      <c r="L558"/>
      <c r="M558"/>
    </row>
    <row r="559" spans="1:14" ht="15.75" x14ac:dyDescent="0.25">
      <c r="A559" s="72">
        <v>556</v>
      </c>
      <c r="B559" s="74">
        <v>44475</v>
      </c>
      <c r="C559" s="73">
        <v>100</v>
      </c>
      <c r="D559" s="73">
        <f t="shared" ref="D559" si="54">G559+F559</f>
        <v>66956</v>
      </c>
      <c r="E559" s="73">
        <v>29</v>
      </c>
      <c r="F559" s="73">
        <v>359</v>
      </c>
      <c r="G559" s="73">
        <v>66597</v>
      </c>
      <c r="I559"/>
      <c r="J559"/>
      <c r="K559"/>
      <c r="L559"/>
      <c r="M559"/>
    </row>
    <row r="560" spans="1:14" ht="15.75" x14ac:dyDescent="0.25">
      <c r="A560" s="72">
        <v>557</v>
      </c>
      <c r="B560" s="74">
        <v>44476</v>
      </c>
      <c r="C560" s="73">
        <v>264</v>
      </c>
      <c r="D560" s="73">
        <f t="shared" ref="D560" si="55">G560+F560</f>
        <v>67303</v>
      </c>
      <c r="E560" s="73">
        <v>51</v>
      </c>
      <c r="F560" s="73">
        <v>572</v>
      </c>
      <c r="G560" s="73">
        <v>66731</v>
      </c>
      <c r="I560"/>
      <c r="J560"/>
      <c r="K560"/>
      <c r="L560"/>
      <c r="M560"/>
      <c r="N560" s="102"/>
    </row>
    <row r="561" spans="1:13" ht="15.75" x14ac:dyDescent="0.25">
      <c r="A561" s="72">
        <v>558</v>
      </c>
      <c r="B561" s="74">
        <v>44477</v>
      </c>
      <c r="C561" s="73">
        <v>0</v>
      </c>
      <c r="D561" s="73">
        <v>67303</v>
      </c>
      <c r="E561" s="73">
        <v>0</v>
      </c>
      <c r="F561" s="73">
        <v>572</v>
      </c>
      <c r="G561" s="73">
        <v>66731</v>
      </c>
      <c r="I561"/>
      <c r="J561"/>
      <c r="K561"/>
      <c r="L561"/>
      <c r="M561"/>
    </row>
    <row r="562" spans="1:13" ht="15.75" x14ac:dyDescent="0.25">
      <c r="A562" s="72">
        <v>559</v>
      </c>
      <c r="B562" s="74">
        <v>44478</v>
      </c>
      <c r="C562" s="73">
        <v>156</v>
      </c>
      <c r="D562" s="73">
        <f t="shared" ref="D562" si="56">G562+F562</f>
        <v>67515</v>
      </c>
      <c r="E562" s="73">
        <v>252</v>
      </c>
      <c r="F562" s="73">
        <v>476</v>
      </c>
      <c r="G562" s="73">
        <v>67039</v>
      </c>
      <c r="I562"/>
      <c r="J562"/>
      <c r="K562"/>
      <c r="L562"/>
      <c r="M562"/>
    </row>
    <row r="563" spans="1:13" ht="15.75" x14ac:dyDescent="0.25">
      <c r="A563" s="72">
        <v>560</v>
      </c>
      <c r="B563" s="74">
        <v>44479</v>
      </c>
      <c r="C563" s="73">
        <v>28</v>
      </c>
      <c r="D563" s="73">
        <f t="shared" ref="D563" si="57">G563+F563</f>
        <v>67556</v>
      </c>
      <c r="E563" s="73">
        <v>116</v>
      </c>
      <c r="F563" s="73">
        <v>388</v>
      </c>
      <c r="G563" s="73">
        <v>67168</v>
      </c>
      <c r="I563"/>
      <c r="J563"/>
      <c r="K563"/>
      <c r="L563" s="99"/>
      <c r="M563" s="99"/>
    </row>
    <row r="564" spans="1:13" ht="15.75" x14ac:dyDescent="0.25">
      <c r="A564" s="72">
        <v>561</v>
      </c>
      <c r="B564" s="74">
        <v>44480</v>
      </c>
      <c r="C564" s="73">
        <v>135</v>
      </c>
      <c r="D564" s="73">
        <f t="shared" ref="D564" si="58">G564+F564</f>
        <v>67691</v>
      </c>
      <c r="E564" s="73">
        <v>22</v>
      </c>
      <c r="F564" s="73">
        <v>501</v>
      </c>
      <c r="G564" s="73">
        <v>67190</v>
      </c>
      <c r="I564"/>
      <c r="J564"/>
      <c r="K564"/>
      <c r="L564"/>
      <c r="M564" s="99"/>
    </row>
    <row r="565" spans="1:13" ht="15.75" x14ac:dyDescent="0.25">
      <c r="A565" s="72">
        <v>562</v>
      </c>
      <c r="B565" s="74">
        <v>44481</v>
      </c>
      <c r="C565" s="73">
        <v>0</v>
      </c>
      <c r="D565" s="73">
        <f t="shared" ref="D565" si="59">G565+F565</f>
        <v>67691</v>
      </c>
      <c r="E565" s="73">
        <v>0</v>
      </c>
      <c r="F565" s="73">
        <v>501</v>
      </c>
      <c r="G565" s="73">
        <v>67190</v>
      </c>
      <c r="I565"/>
      <c r="J565"/>
      <c r="K565"/>
      <c r="L565"/>
      <c r="M565"/>
    </row>
    <row r="566" spans="1:13" ht="15.75" x14ac:dyDescent="0.25">
      <c r="A566" s="72">
        <v>563</v>
      </c>
      <c r="B566" s="74">
        <v>44482</v>
      </c>
      <c r="C566" s="73">
        <v>175</v>
      </c>
      <c r="D566" s="73">
        <f t="shared" ref="D566" si="60">G566+F566</f>
        <v>68047</v>
      </c>
      <c r="E566" s="73">
        <v>295</v>
      </c>
      <c r="F566" s="73">
        <v>381</v>
      </c>
      <c r="G566" s="73">
        <v>67666</v>
      </c>
      <c r="J566"/>
      <c r="K566"/>
      <c r="L566"/>
      <c r="M566"/>
    </row>
    <row r="567" spans="1:13" ht="15.75" x14ac:dyDescent="0.25">
      <c r="A567" s="72">
        <v>564</v>
      </c>
      <c r="B567" s="74">
        <v>44483</v>
      </c>
      <c r="C567" s="73">
        <v>0</v>
      </c>
      <c r="D567" s="73">
        <f t="shared" ref="D567" si="61">G567+F567</f>
        <v>68047</v>
      </c>
      <c r="E567" s="73">
        <v>0</v>
      </c>
      <c r="F567" s="73">
        <v>381</v>
      </c>
      <c r="G567" s="73">
        <v>67666</v>
      </c>
      <c r="J567"/>
      <c r="K567"/>
      <c r="L567"/>
      <c r="M567"/>
    </row>
    <row r="568" spans="1:13" ht="15.75" x14ac:dyDescent="0.25">
      <c r="A568" s="72">
        <v>565</v>
      </c>
      <c r="B568" s="74">
        <v>44484</v>
      </c>
      <c r="C568" s="73">
        <v>52</v>
      </c>
      <c r="D568" s="73">
        <f t="shared" ref="D568" si="62">G568+F568</f>
        <v>68450</v>
      </c>
      <c r="E568" s="73">
        <v>216</v>
      </c>
      <c r="F568" s="73">
        <v>217</v>
      </c>
      <c r="G568" s="73">
        <v>68233</v>
      </c>
      <c r="J568"/>
      <c r="K568"/>
      <c r="L568"/>
      <c r="M568" s="99"/>
    </row>
    <row r="569" spans="1:13" ht="15.75" x14ac:dyDescent="0.25">
      <c r="A569" s="72">
        <v>566</v>
      </c>
      <c r="B569" s="74">
        <v>44485</v>
      </c>
      <c r="C569" s="73">
        <v>24</v>
      </c>
      <c r="D569" s="73">
        <f t="shared" ref="D569" si="63">G569+F569</f>
        <v>68486</v>
      </c>
      <c r="E569" s="73">
        <v>17</v>
      </c>
      <c r="F569" s="73">
        <v>224</v>
      </c>
      <c r="G569" s="73">
        <v>68262</v>
      </c>
      <c r="J569"/>
      <c r="K569"/>
      <c r="L569"/>
      <c r="M569" s="99"/>
    </row>
    <row r="570" spans="1:13" ht="15.75" x14ac:dyDescent="0.25">
      <c r="A570" s="72">
        <v>567</v>
      </c>
      <c r="B570" s="74">
        <v>44486</v>
      </c>
      <c r="C570" s="73">
        <v>31</v>
      </c>
      <c r="D570" s="73">
        <f t="shared" ref="D570" si="64">G570+F570</f>
        <v>68517</v>
      </c>
      <c r="E570" s="73">
        <v>38</v>
      </c>
      <c r="F570" s="73">
        <v>217</v>
      </c>
      <c r="G570" s="73">
        <v>68300</v>
      </c>
      <c r="J570"/>
      <c r="K570"/>
      <c r="L570"/>
      <c r="M570" s="102"/>
    </row>
    <row r="571" spans="1:13" ht="15.75" x14ac:dyDescent="0.25">
      <c r="A571" s="72">
        <v>568</v>
      </c>
      <c r="B571" s="74">
        <v>44487</v>
      </c>
      <c r="C571" s="73">
        <v>21</v>
      </c>
      <c r="D571" s="73">
        <f t="shared" ref="D571" si="65">G571+F571</f>
        <v>68718</v>
      </c>
      <c r="E571" s="73">
        <v>65</v>
      </c>
      <c r="F571" s="73">
        <v>173</v>
      </c>
      <c r="G571" s="73">
        <v>68545</v>
      </c>
      <c r="J571"/>
      <c r="K571"/>
      <c r="L571"/>
    </row>
    <row r="572" spans="1:13" ht="15.75" x14ac:dyDescent="0.25">
      <c r="A572" s="72">
        <v>569</v>
      </c>
      <c r="B572" s="74">
        <v>44488</v>
      </c>
      <c r="C572" s="73">
        <v>0</v>
      </c>
      <c r="D572" s="73">
        <f t="shared" ref="D572" si="66">G572+F572</f>
        <v>68772</v>
      </c>
      <c r="E572" s="73">
        <v>40</v>
      </c>
      <c r="F572" s="73">
        <v>133</v>
      </c>
      <c r="G572" s="73">
        <v>68639</v>
      </c>
      <c r="J572"/>
      <c r="K572"/>
      <c r="L572"/>
      <c r="M572"/>
    </row>
    <row r="573" spans="1:13" ht="15.75" x14ac:dyDescent="0.25">
      <c r="A573" s="72">
        <v>570</v>
      </c>
      <c r="B573" s="74">
        <v>44489</v>
      </c>
      <c r="C573" s="73">
        <v>0</v>
      </c>
      <c r="D573" s="73">
        <f t="shared" ref="D573" si="67">G573+F573</f>
        <v>68772</v>
      </c>
      <c r="E573" s="73">
        <v>0</v>
      </c>
      <c r="F573" s="73">
        <v>133</v>
      </c>
      <c r="G573" s="73">
        <v>68639</v>
      </c>
      <c r="J573"/>
      <c r="K573"/>
      <c r="L573"/>
      <c r="M573" s="99"/>
    </row>
    <row r="574" spans="1:13" ht="15.75" x14ac:dyDescent="0.25">
      <c r="A574" s="72">
        <v>571</v>
      </c>
      <c r="B574" s="74">
        <v>44490</v>
      </c>
      <c r="C574" s="73">
        <v>10</v>
      </c>
      <c r="D574" s="73">
        <f t="shared" ref="D574" si="68">G574+F574</f>
        <v>68811</v>
      </c>
      <c r="E574" s="73">
        <v>8</v>
      </c>
      <c r="F574" s="73">
        <v>135</v>
      </c>
      <c r="G574" s="73">
        <v>68676</v>
      </c>
      <c r="J574"/>
      <c r="K574"/>
      <c r="L574"/>
      <c r="M574" s="99"/>
    </row>
    <row r="575" spans="1:13" ht="15.75" x14ac:dyDescent="0.25">
      <c r="A575" s="72">
        <v>572</v>
      </c>
      <c r="B575" s="74">
        <v>44491</v>
      </c>
      <c r="C575" s="73">
        <v>0</v>
      </c>
      <c r="D575" s="73">
        <f t="shared" ref="D575" si="69">G575+F575</f>
        <v>68811</v>
      </c>
      <c r="E575" s="73">
        <v>0</v>
      </c>
      <c r="F575" s="73">
        <v>135</v>
      </c>
      <c r="G575" s="73">
        <v>68676</v>
      </c>
      <c r="J575"/>
      <c r="K575"/>
      <c r="L575"/>
      <c r="M575"/>
    </row>
    <row r="576" spans="1:13" ht="15.75" x14ac:dyDescent="0.25">
      <c r="A576" s="72">
        <v>573</v>
      </c>
      <c r="B576" s="74">
        <v>44492</v>
      </c>
      <c r="C576" s="73">
        <v>13</v>
      </c>
      <c r="D576" s="73">
        <f t="shared" ref="D576" si="70">G576+F576</f>
        <v>68863</v>
      </c>
      <c r="E576" s="73">
        <v>60</v>
      </c>
      <c r="F576" s="73">
        <v>88</v>
      </c>
      <c r="G576" s="73">
        <v>68775</v>
      </c>
      <c r="J576"/>
      <c r="K576"/>
      <c r="L576"/>
      <c r="M576"/>
    </row>
    <row r="577" spans="1:13" ht="15.75" x14ac:dyDescent="0.25">
      <c r="A577" s="72">
        <v>574</v>
      </c>
      <c r="B577" s="74">
        <v>44493</v>
      </c>
      <c r="C577" s="73">
        <v>0</v>
      </c>
      <c r="D577" s="73">
        <f t="shared" ref="D577" si="71">G577+F577</f>
        <v>68863</v>
      </c>
      <c r="E577" s="73">
        <v>0</v>
      </c>
      <c r="F577" s="73">
        <v>88</v>
      </c>
      <c r="G577" s="73">
        <v>68775</v>
      </c>
      <c r="J577"/>
      <c r="K577"/>
      <c r="L577"/>
      <c r="M577" s="99"/>
    </row>
    <row r="578" spans="1:13" ht="15.75" x14ac:dyDescent="0.25">
      <c r="A578" s="72">
        <v>575</v>
      </c>
      <c r="B578" s="74">
        <v>44494</v>
      </c>
      <c r="C578" s="73">
        <v>0</v>
      </c>
      <c r="D578" s="73">
        <f t="shared" ref="D578" si="72">G578+F578</f>
        <v>68863</v>
      </c>
      <c r="E578" s="73">
        <v>0</v>
      </c>
      <c r="F578" s="73">
        <v>88</v>
      </c>
      <c r="G578" s="73">
        <v>68775</v>
      </c>
      <c r="J578"/>
      <c r="K578"/>
      <c r="L578"/>
      <c r="M578"/>
    </row>
    <row r="579" spans="1:13" ht="15.75" x14ac:dyDescent="0.25">
      <c r="A579" s="72">
        <v>576</v>
      </c>
      <c r="B579" s="74">
        <v>44495</v>
      </c>
      <c r="C579" s="73">
        <v>23</v>
      </c>
      <c r="D579" s="73">
        <f t="shared" ref="D579" si="73">G579+F579</f>
        <v>68924</v>
      </c>
      <c r="E579" s="73">
        <v>17</v>
      </c>
      <c r="F579" s="73">
        <v>94</v>
      </c>
      <c r="G579" s="73">
        <v>68830</v>
      </c>
      <c r="J579"/>
      <c r="K579"/>
      <c r="L579"/>
      <c r="M579"/>
    </row>
    <row r="580" spans="1:13" ht="15.75" x14ac:dyDescent="0.25">
      <c r="A580" s="72">
        <v>577</v>
      </c>
      <c r="B580" s="74">
        <v>44496</v>
      </c>
      <c r="C580" s="73">
        <v>0</v>
      </c>
      <c r="D580" s="73">
        <f t="shared" ref="D580" si="74">G580+F580</f>
        <v>68924</v>
      </c>
      <c r="E580" s="73">
        <v>0</v>
      </c>
      <c r="F580" s="73">
        <v>94</v>
      </c>
      <c r="G580" s="73">
        <v>68830</v>
      </c>
      <c r="J580"/>
      <c r="K580"/>
      <c r="L580"/>
      <c r="M580" s="99"/>
    </row>
    <row r="581" spans="1:13" ht="15.75" x14ac:dyDescent="0.25">
      <c r="A581" s="72">
        <v>578</v>
      </c>
      <c r="B581" s="74">
        <v>44497</v>
      </c>
      <c r="C581" s="73">
        <v>0</v>
      </c>
      <c r="D581" s="73">
        <f t="shared" ref="D581" si="75">G581+F581</f>
        <v>68924</v>
      </c>
      <c r="E581" s="73">
        <v>0</v>
      </c>
      <c r="F581" s="73">
        <v>94</v>
      </c>
      <c r="G581" s="73">
        <v>68830</v>
      </c>
      <c r="I581"/>
      <c r="J581"/>
      <c r="K581"/>
      <c r="L581"/>
      <c r="M581"/>
    </row>
    <row r="582" spans="1:13" ht="15.75" x14ac:dyDescent="0.25">
      <c r="A582" s="72">
        <v>579</v>
      </c>
      <c r="B582" s="74">
        <v>44498</v>
      </c>
      <c r="C582" s="73">
        <v>90</v>
      </c>
      <c r="D582" s="73">
        <f t="shared" ref="D582" si="76">G582+F582</f>
        <v>69040</v>
      </c>
      <c r="E582" s="73">
        <v>64</v>
      </c>
      <c r="F582" s="73">
        <v>120</v>
      </c>
      <c r="G582" s="73">
        <v>68920</v>
      </c>
      <c r="I582"/>
      <c r="J582"/>
      <c r="K582"/>
      <c r="L582" s="99"/>
      <c r="M582" s="102"/>
    </row>
    <row r="583" spans="1:13" ht="15.75" x14ac:dyDescent="0.25">
      <c r="A583" s="72">
        <v>580</v>
      </c>
      <c r="B583" s="74">
        <v>44499</v>
      </c>
      <c r="C583" s="73">
        <v>0</v>
      </c>
      <c r="D583" s="73">
        <f t="shared" ref="D583" si="77">G583+F583</f>
        <v>69040</v>
      </c>
      <c r="E583" s="73">
        <v>0</v>
      </c>
      <c r="F583" s="73">
        <v>120</v>
      </c>
      <c r="G583" s="73">
        <v>68920</v>
      </c>
      <c r="I583"/>
      <c r="J583"/>
      <c r="K583"/>
      <c r="L583"/>
    </row>
    <row r="584" spans="1:13" ht="15.75" x14ac:dyDescent="0.25">
      <c r="A584" s="72">
        <v>581</v>
      </c>
      <c r="B584" s="74">
        <v>44500</v>
      </c>
      <c r="C584" s="73">
        <v>0</v>
      </c>
      <c r="D584" s="73">
        <f t="shared" ref="D584" si="78">G584+F584</f>
        <v>69040</v>
      </c>
      <c r="E584" s="73">
        <v>0</v>
      </c>
      <c r="F584" s="73">
        <v>120</v>
      </c>
      <c r="G584" s="73">
        <v>68920</v>
      </c>
      <c r="I584"/>
      <c r="J584"/>
      <c r="K584"/>
      <c r="L584"/>
    </row>
    <row r="585" spans="1:13" ht="15.75" x14ac:dyDescent="0.25">
      <c r="A585" s="72">
        <v>582</v>
      </c>
      <c r="B585" s="74">
        <v>44501</v>
      </c>
      <c r="C585" s="73">
        <v>0</v>
      </c>
      <c r="D585" s="73">
        <f t="shared" ref="D585" si="79">G585+F585</f>
        <v>69040</v>
      </c>
      <c r="E585" s="73">
        <v>0</v>
      </c>
      <c r="F585" s="73">
        <v>120</v>
      </c>
      <c r="G585" s="73">
        <v>68920</v>
      </c>
      <c r="I585"/>
      <c r="J585"/>
      <c r="K585"/>
      <c r="L585"/>
    </row>
    <row r="586" spans="1:13" x14ac:dyDescent="0.2">
      <c r="A586" s="72">
        <v>583</v>
      </c>
      <c r="B586" s="74">
        <v>44502</v>
      </c>
      <c r="C586" s="73">
        <v>103</v>
      </c>
      <c r="D586" s="73">
        <f t="shared" ref="D586" si="80">G586+F586</f>
        <v>69223</v>
      </c>
      <c r="E586" s="73">
        <v>52</v>
      </c>
      <c r="F586" s="73">
        <v>171</v>
      </c>
      <c r="G586" s="73">
        <v>69052</v>
      </c>
    </row>
    <row r="587" spans="1:13" x14ac:dyDescent="0.2">
      <c r="A587" s="72">
        <v>584</v>
      </c>
      <c r="B587" s="74">
        <v>44503</v>
      </c>
      <c r="C587" s="73">
        <v>0</v>
      </c>
      <c r="D587" s="73">
        <f t="shared" ref="D587" si="81">G587+F587</f>
        <v>69223</v>
      </c>
      <c r="E587" s="73">
        <v>0</v>
      </c>
      <c r="F587" s="73">
        <v>171</v>
      </c>
      <c r="G587" s="73">
        <v>69052</v>
      </c>
      <c r="I587" s="102"/>
    </row>
    <row r="588" spans="1:13" x14ac:dyDescent="0.2">
      <c r="A588" s="72">
        <v>585</v>
      </c>
      <c r="B588" s="74">
        <v>44504</v>
      </c>
      <c r="C588" s="73">
        <v>4</v>
      </c>
      <c r="D588" s="73">
        <f t="shared" ref="D588" si="82">G588+F588</f>
        <v>69224</v>
      </c>
      <c r="E588" s="73">
        <v>75</v>
      </c>
      <c r="F588" s="73">
        <v>100</v>
      </c>
      <c r="G588" s="73">
        <v>69124</v>
      </c>
    </row>
    <row r="589" spans="1:13" x14ac:dyDescent="0.2">
      <c r="A589" s="72">
        <v>586</v>
      </c>
      <c r="B589" s="74">
        <v>44505</v>
      </c>
      <c r="C589" s="73">
        <v>2</v>
      </c>
      <c r="D589" s="73">
        <f t="shared" ref="D589" si="83">G589+F589</f>
        <v>69224</v>
      </c>
      <c r="E589" s="73">
        <v>37</v>
      </c>
      <c r="F589" s="73">
        <v>65</v>
      </c>
      <c r="G589" s="73">
        <v>69159</v>
      </c>
    </row>
    <row r="590" spans="1:13" x14ac:dyDescent="0.2">
      <c r="A590" s="72">
        <v>587</v>
      </c>
      <c r="B590" s="74">
        <v>44506</v>
      </c>
      <c r="C590" s="73">
        <v>0</v>
      </c>
      <c r="D590" s="73">
        <f t="shared" ref="D590" si="84">G590+F590</f>
        <v>69224</v>
      </c>
      <c r="E590" s="73">
        <v>0</v>
      </c>
      <c r="F590" s="73">
        <v>65</v>
      </c>
      <c r="G590" s="73">
        <v>69159</v>
      </c>
    </row>
    <row r="591" spans="1:13" ht="15.75" x14ac:dyDescent="0.25">
      <c r="A591" s="72">
        <v>588</v>
      </c>
      <c r="B591" s="74">
        <v>44507</v>
      </c>
      <c r="C591" s="73">
        <v>0</v>
      </c>
      <c r="D591" s="73">
        <f t="shared" ref="D591" si="85">G591+F591</f>
        <v>69223</v>
      </c>
      <c r="E591" s="73">
        <v>28</v>
      </c>
      <c r="F591" s="73">
        <v>37</v>
      </c>
      <c r="G591" s="73">
        <v>69186</v>
      </c>
      <c r="I591"/>
      <c r="J591"/>
      <c r="K591"/>
    </row>
    <row r="592" spans="1:13" ht="15.75" x14ac:dyDescent="0.25">
      <c r="A592" s="72">
        <v>589</v>
      </c>
      <c r="B592" s="74">
        <v>44508</v>
      </c>
      <c r="C592" s="73">
        <v>0</v>
      </c>
      <c r="D592" s="73">
        <f t="shared" ref="D592" si="86">G592+F592</f>
        <v>69223</v>
      </c>
      <c r="E592" s="73">
        <v>0</v>
      </c>
      <c r="F592" s="73">
        <v>37</v>
      </c>
      <c r="G592" s="73">
        <v>69186</v>
      </c>
      <c r="I592"/>
      <c r="J592"/>
      <c r="K592"/>
      <c r="L592"/>
      <c r="M592" s="102"/>
    </row>
    <row r="593" spans="1:12" ht="15.75" x14ac:dyDescent="0.25">
      <c r="A593" s="72">
        <v>590</v>
      </c>
      <c r="B593" s="74">
        <v>44509</v>
      </c>
      <c r="C593" s="73">
        <v>0</v>
      </c>
      <c r="D593" s="73">
        <f t="shared" ref="D593" si="87">G593+F593</f>
        <v>69222</v>
      </c>
      <c r="E593" s="73">
        <v>1</v>
      </c>
      <c r="F593" s="73">
        <v>36</v>
      </c>
      <c r="G593" s="73">
        <v>69186</v>
      </c>
      <c r="I593"/>
      <c r="J593"/>
      <c r="K593"/>
      <c r="L593"/>
    </row>
    <row r="594" spans="1:12" ht="15.75" x14ac:dyDescent="0.25">
      <c r="A594" s="72">
        <v>591</v>
      </c>
      <c r="B594" s="74">
        <v>44510</v>
      </c>
      <c r="C594" s="73">
        <v>0</v>
      </c>
      <c r="D594" s="73">
        <f t="shared" ref="D594:D595" si="88">G594+F594</f>
        <v>69222</v>
      </c>
      <c r="E594" s="73">
        <v>0</v>
      </c>
      <c r="F594" s="73">
        <v>36</v>
      </c>
      <c r="G594" s="73">
        <v>69186</v>
      </c>
      <c r="I594"/>
      <c r="J594"/>
      <c r="K594"/>
      <c r="L594"/>
    </row>
    <row r="595" spans="1:12" ht="15.75" x14ac:dyDescent="0.25">
      <c r="A595" s="72">
        <v>592</v>
      </c>
      <c r="B595" s="74">
        <v>44511</v>
      </c>
      <c r="C595" s="73">
        <v>3</v>
      </c>
      <c r="D595" s="73">
        <f t="shared" si="88"/>
        <v>69247</v>
      </c>
      <c r="E595" s="73">
        <v>19</v>
      </c>
      <c r="F595" s="73">
        <v>20</v>
      </c>
      <c r="G595" s="73">
        <v>69227</v>
      </c>
      <c r="I595"/>
      <c r="J595"/>
      <c r="K595"/>
      <c r="L595"/>
    </row>
    <row r="596" spans="1:12" ht="15.75" x14ac:dyDescent="0.25">
      <c r="A596" s="72">
        <v>593</v>
      </c>
      <c r="B596" s="74">
        <v>44512</v>
      </c>
      <c r="C596" s="73">
        <v>0</v>
      </c>
      <c r="D596" s="73">
        <f t="shared" ref="D596" si="89">G596+F596</f>
        <v>69247</v>
      </c>
      <c r="E596" s="73">
        <v>0</v>
      </c>
      <c r="F596" s="73">
        <v>20</v>
      </c>
      <c r="G596" s="73">
        <v>69227</v>
      </c>
      <c r="I596"/>
      <c r="J596"/>
      <c r="K596"/>
      <c r="L596"/>
    </row>
    <row r="597" spans="1:12" ht="15.75" x14ac:dyDescent="0.25">
      <c r="A597" s="72">
        <v>594</v>
      </c>
      <c r="B597" s="74">
        <v>44513</v>
      </c>
      <c r="C597" s="73">
        <v>41</v>
      </c>
      <c r="D597" s="73">
        <f t="shared" ref="D597" si="90">G597+F597</f>
        <v>69343</v>
      </c>
      <c r="E597" s="73">
        <v>14</v>
      </c>
      <c r="F597" s="73">
        <v>47</v>
      </c>
      <c r="G597" s="73">
        <v>69296</v>
      </c>
      <c r="I597"/>
      <c r="J597"/>
      <c r="K597"/>
      <c r="L597"/>
    </row>
    <row r="598" spans="1:12" ht="15.75" x14ac:dyDescent="0.25">
      <c r="A598" s="72">
        <v>595</v>
      </c>
      <c r="B598" s="74">
        <v>44514</v>
      </c>
      <c r="C598" s="73">
        <v>0</v>
      </c>
      <c r="D598" s="73">
        <f t="shared" ref="D598" si="91">G598+F598</f>
        <v>69343</v>
      </c>
      <c r="E598" s="73">
        <v>0</v>
      </c>
      <c r="F598" s="73">
        <v>47</v>
      </c>
      <c r="G598" s="73">
        <v>69296</v>
      </c>
      <c r="J598"/>
      <c r="K598"/>
      <c r="L598"/>
    </row>
    <row r="599" spans="1:12" ht="15.75" x14ac:dyDescent="0.25">
      <c r="A599" s="72">
        <v>596</v>
      </c>
      <c r="B599" s="74">
        <v>44515</v>
      </c>
      <c r="C599" s="73">
        <v>0</v>
      </c>
      <c r="D599" s="73">
        <f t="shared" ref="D599" si="92">G599+F599</f>
        <v>69343</v>
      </c>
      <c r="E599" s="73">
        <v>0</v>
      </c>
      <c r="F599" s="73">
        <v>47</v>
      </c>
      <c r="G599" s="73">
        <v>69296</v>
      </c>
      <c r="J599"/>
      <c r="K599"/>
      <c r="L599"/>
    </row>
    <row r="600" spans="1:12" ht="15.75" x14ac:dyDescent="0.25">
      <c r="A600" s="72">
        <v>597</v>
      </c>
      <c r="B600" s="74">
        <v>44516</v>
      </c>
      <c r="C600" s="73">
        <v>102</v>
      </c>
      <c r="D600" s="73">
        <f t="shared" ref="D600" si="93">G600+F600</f>
        <v>69476</v>
      </c>
      <c r="E600" s="73">
        <v>5</v>
      </c>
      <c r="F600" s="73">
        <v>107</v>
      </c>
      <c r="G600" s="73">
        <v>69369</v>
      </c>
      <c r="J600"/>
      <c r="K600"/>
      <c r="L600"/>
    </row>
    <row r="601" spans="1:12" ht="15.75" x14ac:dyDescent="0.25">
      <c r="A601" s="72">
        <v>598</v>
      </c>
      <c r="B601" s="74">
        <v>44517</v>
      </c>
      <c r="C601" s="73">
        <v>0</v>
      </c>
      <c r="D601" s="73">
        <f t="shared" ref="D601" si="94">G601+F601</f>
        <v>69476</v>
      </c>
      <c r="E601" s="73">
        <v>0</v>
      </c>
      <c r="F601" s="73">
        <v>107</v>
      </c>
      <c r="G601" s="73">
        <v>69369</v>
      </c>
      <c r="J601"/>
      <c r="K601"/>
      <c r="L601"/>
    </row>
    <row r="602" spans="1:12" ht="15.75" x14ac:dyDescent="0.25">
      <c r="A602" s="72">
        <v>599</v>
      </c>
      <c r="B602" s="74">
        <v>44518</v>
      </c>
      <c r="C602" s="73">
        <v>61</v>
      </c>
      <c r="D602" s="73">
        <f t="shared" ref="D602" si="95">G602+F602</f>
        <v>69571</v>
      </c>
      <c r="E602" s="73">
        <v>90</v>
      </c>
      <c r="F602" s="73">
        <v>78</v>
      </c>
      <c r="G602" s="103">
        <v>69493</v>
      </c>
      <c r="J602"/>
      <c r="K602"/>
      <c r="L602"/>
    </row>
    <row r="603" spans="1:12" ht="15.75" x14ac:dyDescent="0.25">
      <c r="A603" s="72">
        <v>600</v>
      </c>
      <c r="B603" s="74">
        <v>44519</v>
      </c>
      <c r="C603" s="73">
        <v>16</v>
      </c>
      <c r="D603" s="73">
        <f t="shared" ref="D603" si="96">G603+F603</f>
        <v>69581</v>
      </c>
      <c r="E603" s="73">
        <v>45</v>
      </c>
      <c r="F603" s="73">
        <v>49</v>
      </c>
      <c r="G603" s="103">
        <v>69532</v>
      </c>
      <c r="J603"/>
      <c r="K603"/>
      <c r="L603"/>
    </row>
    <row r="604" spans="1:12" ht="15.75" x14ac:dyDescent="0.25">
      <c r="A604" s="72">
        <v>601</v>
      </c>
      <c r="B604" s="74">
        <v>44520</v>
      </c>
      <c r="C604" s="73">
        <v>4</v>
      </c>
      <c r="D604" s="73">
        <f t="shared" ref="D604" si="97">G604+F604</f>
        <v>69581</v>
      </c>
      <c r="E604" s="73">
        <v>16</v>
      </c>
      <c r="F604" s="73">
        <v>37</v>
      </c>
      <c r="G604" s="103">
        <v>69544</v>
      </c>
      <c r="J604"/>
      <c r="K604"/>
      <c r="L604"/>
    </row>
    <row r="605" spans="1:12" ht="15.75" x14ac:dyDescent="0.25">
      <c r="A605" s="72">
        <v>602</v>
      </c>
      <c r="B605" s="74">
        <v>44521</v>
      </c>
      <c r="C605" s="73">
        <v>19</v>
      </c>
      <c r="D605" s="73">
        <f t="shared" ref="D605" si="98">G605+F605</f>
        <v>69600</v>
      </c>
      <c r="E605" s="73">
        <v>0</v>
      </c>
      <c r="F605" s="73">
        <v>56</v>
      </c>
      <c r="G605" s="103">
        <v>69544</v>
      </c>
      <c r="J605"/>
      <c r="K605"/>
      <c r="L605"/>
    </row>
    <row r="606" spans="1:12" ht="15.75" x14ac:dyDescent="0.25">
      <c r="A606" s="72">
        <v>603</v>
      </c>
      <c r="B606" s="74">
        <v>44522</v>
      </c>
      <c r="C606" s="73">
        <v>0</v>
      </c>
      <c r="D606" s="73">
        <f t="shared" ref="D606" si="99">G606+F606</f>
        <v>69600</v>
      </c>
      <c r="E606" s="73">
        <v>0</v>
      </c>
      <c r="F606" s="73">
        <v>56</v>
      </c>
      <c r="G606" s="103">
        <v>69544</v>
      </c>
      <c r="J606"/>
      <c r="K606"/>
      <c r="L606"/>
    </row>
    <row r="607" spans="1:12" ht="15.75" x14ac:dyDescent="0.25">
      <c r="A607" s="72">
        <v>604</v>
      </c>
      <c r="B607" s="74">
        <v>44523</v>
      </c>
      <c r="C607" s="73">
        <v>2</v>
      </c>
      <c r="D607" s="73">
        <f t="shared" ref="D607" si="100">G607+F607</f>
        <v>69635</v>
      </c>
      <c r="E607" s="73">
        <v>16</v>
      </c>
      <c r="F607" s="73">
        <v>42</v>
      </c>
      <c r="G607" s="103">
        <v>69593</v>
      </c>
      <c r="J607"/>
      <c r="K607"/>
      <c r="L607"/>
    </row>
    <row r="608" spans="1:12" ht="15.75" x14ac:dyDescent="0.25">
      <c r="A608" s="72">
        <v>605</v>
      </c>
      <c r="B608" s="74">
        <v>44524</v>
      </c>
      <c r="C608" s="73">
        <v>0</v>
      </c>
      <c r="D608" s="73">
        <f t="shared" ref="D608" si="101">G608+F608</f>
        <v>69628</v>
      </c>
      <c r="E608" s="73">
        <v>3</v>
      </c>
      <c r="F608" s="73">
        <v>39</v>
      </c>
      <c r="G608" s="103">
        <v>69589</v>
      </c>
      <c r="J608"/>
      <c r="K608"/>
      <c r="L608"/>
    </row>
    <row r="609" spans="1:12" ht="15.75" x14ac:dyDescent="0.25">
      <c r="A609" s="72">
        <v>606</v>
      </c>
      <c r="B609" s="74">
        <v>44525</v>
      </c>
      <c r="C609" s="73">
        <v>67</v>
      </c>
      <c r="D609" s="73">
        <f t="shared" ref="D609" si="102">G609+F609</f>
        <v>69691</v>
      </c>
      <c r="E609" s="73">
        <v>0</v>
      </c>
      <c r="F609" s="73">
        <v>106</v>
      </c>
      <c r="G609" s="103">
        <v>69585</v>
      </c>
      <c r="J609"/>
      <c r="K609"/>
      <c r="L609"/>
    </row>
    <row r="610" spans="1:12" ht="15.75" x14ac:dyDescent="0.25">
      <c r="A610" s="72">
        <v>607</v>
      </c>
      <c r="B610" s="74">
        <v>44526</v>
      </c>
      <c r="C610" s="73">
        <v>21</v>
      </c>
      <c r="D610" s="73">
        <f t="shared" ref="D610" si="103">G610+F610</f>
        <v>69712</v>
      </c>
      <c r="E610" s="73">
        <v>63</v>
      </c>
      <c r="F610" s="73">
        <v>64</v>
      </c>
      <c r="G610" s="103">
        <v>69648</v>
      </c>
      <c r="I610"/>
      <c r="J610"/>
      <c r="K610"/>
      <c r="L610"/>
    </row>
    <row r="611" spans="1:12" ht="15.75" x14ac:dyDescent="0.25">
      <c r="A611" s="72">
        <v>608</v>
      </c>
      <c r="B611" s="74">
        <v>44527</v>
      </c>
      <c r="C611" s="73">
        <v>29</v>
      </c>
      <c r="D611" s="73">
        <f t="shared" ref="D611" si="104">G611+F611</f>
        <v>69741</v>
      </c>
      <c r="E611" s="73">
        <v>18</v>
      </c>
      <c r="F611" s="73">
        <v>75</v>
      </c>
      <c r="G611" s="103">
        <v>69666</v>
      </c>
      <c r="I611"/>
      <c r="J611"/>
      <c r="K611"/>
      <c r="L611"/>
    </row>
    <row r="612" spans="1:12" ht="15.75" x14ac:dyDescent="0.25">
      <c r="A612" s="72">
        <v>609</v>
      </c>
      <c r="B612" s="74">
        <v>44528</v>
      </c>
      <c r="C612" s="73">
        <v>0</v>
      </c>
      <c r="D612" s="73">
        <f t="shared" ref="D612" si="105">G612+F612</f>
        <v>69741</v>
      </c>
      <c r="E612" s="73">
        <v>0</v>
      </c>
      <c r="F612" s="73">
        <v>75</v>
      </c>
      <c r="G612" s="103">
        <v>69666</v>
      </c>
      <c r="I612"/>
      <c r="J612"/>
      <c r="K612"/>
      <c r="L612" s="99"/>
    </row>
    <row r="613" spans="1:12" ht="15.75" x14ac:dyDescent="0.25">
      <c r="A613" s="72">
        <v>610</v>
      </c>
      <c r="B613" s="74">
        <v>44529</v>
      </c>
      <c r="C613" s="73">
        <v>0</v>
      </c>
      <c r="D613" s="73">
        <f t="shared" ref="D613" si="106">G613+F613</f>
        <v>69741</v>
      </c>
      <c r="E613" s="73">
        <v>0</v>
      </c>
      <c r="F613" s="73">
        <v>75</v>
      </c>
      <c r="G613" s="103">
        <v>69666</v>
      </c>
      <c r="I613"/>
      <c r="J613"/>
      <c r="K613"/>
      <c r="L613"/>
    </row>
    <row r="614" spans="1:12" ht="15.75" x14ac:dyDescent="0.25">
      <c r="A614" s="72">
        <v>611</v>
      </c>
      <c r="B614" s="74">
        <v>44530</v>
      </c>
      <c r="C614" s="73">
        <v>97</v>
      </c>
      <c r="D614" s="73">
        <f t="shared" ref="D614" si="107">G614+F614</f>
        <v>69834</v>
      </c>
      <c r="E614" s="73">
        <v>49</v>
      </c>
      <c r="F614" s="73">
        <v>123</v>
      </c>
      <c r="G614" s="103">
        <v>69711</v>
      </c>
      <c r="I614"/>
      <c r="J614"/>
      <c r="K614"/>
      <c r="L614"/>
    </row>
    <row r="615" spans="1:12" ht="15.75" x14ac:dyDescent="0.25">
      <c r="A615" s="72">
        <v>612</v>
      </c>
      <c r="B615" s="74">
        <v>44531</v>
      </c>
      <c r="C615" s="73">
        <v>0</v>
      </c>
      <c r="D615" s="73">
        <f t="shared" ref="D615" si="108">G615+F615</f>
        <v>69833</v>
      </c>
      <c r="E615" s="73">
        <v>96</v>
      </c>
      <c r="F615" s="73">
        <v>27</v>
      </c>
      <c r="G615" s="103">
        <v>69806</v>
      </c>
      <c r="I615"/>
      <c r="J615"/>
      <c r="K615"/>
      <c r="L615"/>
    </row>
    <row r="616" spans="1:12" ht="15.75" x14ac:dyDescent="0.25">
      <c r="A616" s="72">
        <v>613</v>
      </c>
      <c r="B616" s="74">
        <v>44532</v>
      </c>
      <c r="C616" s="73">
        <v>1</v>
      </c>
      <c r="D616" s="73">
        <f t="shared" ref="D616:D617" si="109">G616+F616</f>
        <v>69827</v>
      </c>
      <c r="E616" s="73">
        <v>7</v>
      </c>
      <c r="F616" s="73">
        <v>21</v>
      </c>
      <c r="G616" s="103">
        <v>69806</v>
      </c>
      <c r="I616"/>
      <c r="J616"/>
      <c r="K616"/>
      <c r="L616"/>
    </row>
    <row r="617" spans="1:12" ht="15.75" x14ac:dyDescent="0.25">
      <c r="A617" s="72">
        <v>614</v>
      </c>
      <c r="B617" s="74">
        <v>44533</v>
      </c>
      <c r="C617" s="73">
        <v>0</v>
      </c>
      <c r="D617" s="73">
        <f t="shared" si="109"/>
        <v>69850</v>
      </c>
      <c r="E617" s="73">
        <v>0</v>
      </c>
      <c r="F617" s="73">
        <v>21</v>
      </c>
      <c r="G617" s="103">
        <v>69829</v>
      </c>
      <c r="I617"/>
      <c r="J617"/>
      <c r="K617"/>
      <c r="L617"/>
    </row>
    <row r="618" spans="1:12" ht="15.75" x14ac:dyDescent="0.25">
      <c r="A618" s="72">
        <v>615</v>
      </c>
      <c r="B618" s="74">
        <v>44534</v>
      </c>
      <c r="C618" s="73">
        <v>0</v>
      </c>
      <c r="D618" s="73">
        <f t="shared" ref="D618" si="110">G618+F618</f>
        <v>69850</v>
      </c>
      <c r="E618" s="73">
        <v>0</v>
      </c>
      <c r="F618" s="73">
        <v>21</v>
      </c>
      <c r="G618" s="103">
        <v>69829</v>
      </c>
      <c r="I618"/>
      <c r="J618"/>
      <c r="K618"/>
      <c r="L618"/>
    </row>
    <row r="619" spans="1:12" ht="15.75" x14ac:dyDescent="0.25">
      <c r="A619" s="72">
        <v>616</v>
      </c>
      <c r="B619" s="74">
        <v>44535</v>
      </c>
      <c r="C619" s="73">
        <v>0</v>
      </c>
      <c r="D619" s="73">
        <f t="shared" ref="D619" si="111">G619+F619</f>
        <v>69850</v>
      </c>
      <c r="E619" s="73">
        <v>0</v>
      </c>
      <c r="F619" s="73">
        <v>21</v>
      </c>
      <c r="G619" s="103">
        <v>69829</v>
      </c>
      <c r="I619"/>
      <c r="J619"/>
      <c r="K619"/>
      <c r="L619"/>
    </row>
    <row r="620" spans="1:12" ht="15.75" x14ac:dyDescent="0.25">
      <c r="A620" s="72">
        <v>617</v>
      </c>
      <c r="B620" s="74">
        <v>44536</v>
      </c>
      <c r="C620" s="73">
        <v>0</v>
      </c>
      <c r="D620" s="73">
        <f t="shared" ref="D620" si="112">G620+F620</f>
        <v>69850</v>
      </c>
      <c r="E620" s="73">
        <v>0</v>
      </c>
      <c r="F620" s="73">
        <v>21</v>
      </c>
      <c r="G620" s="103">
        <v>69829</v>
      </c>
      <c r="I620"/>
      <c r="J620"/>
      <c r="K620"/>
      <c r="L620"/>
    </row>
    <row r="621" spans="1:12" ht="15.75" x14ac:dyDescent="0.25">
      <c r="I621"/>
      <c r="J621"/>
      <c r="K621"/>
      <c r="L621"/>
    </row>
    <row r="622" spans="1:12" ht="15.75" x14ac:dyDescent="0.25">
      <c r="I622"/>
      <c r="J622"/>
      <c r="K622"/>
      <c r="L622"/>
    </row>
    <row r="623" spans="1:12" ht="15.75" x14ac:dyDescent="0.25">
      <c r="J623"/>
      <c r="K623"/>
      <c r="L623"/>
    </row>
    <row r="624" spans="1:12" ht="15.75" x14ac:dyDescent="0.25">
      <c r="J624"/>
      <c r="K624"/>
      <c r="L624"/>
    </row>
    <row r="625" spans="10:12" ht="15.75" x14ac:dyDescent="0.25">
      <c r="J625"/>
      <c r="K625"/>
      <c r="L625"/>
    </row>
    <row r="626" spans="10:12" ht="15.75" x14ac:dyDescent="0.25">
      <c r="J626"/>
      <c r="K626"/>
      <c r="L626"/>
    </row>
  </sheetData>
  <mergeCells count="2">
    <mergeCell ref="A1:G1"/>
    <mergeCell ref="A2:C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TOTAL KONTAK ERAT</vt:lpstr>
      <vt:lpstr>perdesa</vt:lpstr>
      <vt:lpstr>per kecamatan</vt:lpstr>
      <vt:lpstr>Sheet4</vt:lpstr>
      <vt:lpstr>Sheet2</vt:lpstr>
      <vt:lpstr>SEMUA KONTAK ERAT</vt:lpstr>
      <vt:lpstr>KONTAKERAT MASUK</vt:lpstr>
      <vt:lpstr>KONTAK ERAT KELUAR</vt:lpstr>
      <vt:lpstr>FORMAT KONTAK ERAT</vt:lpstr>
      <vt:lpstr>perdesa!Print_Area</vt:lpstr>
      <vt:lpstr>perdesa!Print_Titles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Windows User</cp:lastModifiedBy>
  <cp:lastPrinted>2021-08-12T07:14:35Z</cp:lastPrinted>
  <dcterms:created xsi:type="dcterms:W3CDTF">2020-03-25T02:32:05Z</dcterms:created>
  <dcterms:modified xsi:type="dcterms:W3CDTF">2021-12-07T07:08:58Z</dcterms:modified>
</cp:coreProperties>
</file>