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-105" yWindow="-105" windowWidth="23250" windowHeight="12570" tabRatio="860" activeTab="1"/>
  </bookViews>
  <sheets>
    <sheet name="TOTAL SUSPEK" sheetId="29" r:id="rId1"/>
    <sheet name="perdesa" sheetId="19" r:id="rId2"/>
    <sheet name="per kecamatan" sheetId="20" r:id="rId3"/>
    <sheet name="Sheet4" sheetId="24" state="hidden" r:id="rId4"/>
    <sheet name="Sheet2" sheetId="26" state="hidden" r:id="rId5"/>
    <sheet name="TOTAL DIRAWAT" sheetId="30" r:id="rId6"/>
    <sheet name="SUSPEK MASUK" sheetId="31" r:id="rId7"/>
    <sheet name="SUSPEK KELUAR" sheetId="32" r:id="rId8"/>
    <sheet name="TOTAL" sheetId="37" r:id="rId9"/>
  </sheets>
  <definedNames>
    <definedName name="_xlnm._FilterDatabase" localSheetId="1" hidden="1">perdesa!$A$4:$H$260</definedName>
    <definedName name="_xlnm._FilterDatabase" localSheetId="5" hidden="1">'TOTAL DIRAWAT'!#REF!</definedName>
    <definedName name="_xlnm._FilterDatabase" localSheetId="0" hidden="1">'TOTAL SUSPEK'!$A$1:$AB$1</definedName>
    <definedName name="CZ">#REF!</definedName>
    <definedName name="_xlnm.Print_Area" localSheetId="1">perdesa!$A$1:$Q$258</definedName>
    <definedName name="_xlnm.Print_Titles" localSheetId="1">perdesa!$5:$7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1" i="37" l="1"/>
  <c r="H380" i="37" l="1"/>
  <c r="H379" i="37" l="1"/>
  <c r="H377" i="37" l="1"/>
  <c r="H378" i="37"/>
  <c r="H376" i="37" l="1"/>
  <c r="H375" i="37" l="1"/>
  <c r="H374" i="37" l="1"/>
  <c r="H373" i="37" l="1"/>
  <c r="H372" i="37" l="1"/>
  <c r="H371" i="37" l="1"/>
  <c r="H370" i="37" l="1"/>
  <c r="H368" i="37" l="1"/>
  <c r="H369" i="37"/>
  <c r="H367" i="37" l="1"/>
  <c r="H366" i="37" l="1"/>
  <c r="H365" i="37" l="1"/>
  <c r="H364" i="37" l="1"/>
  <c r="H363" i="37" l="1"/>
  <c r="H362" i="37" l="1"/>
  <c r="H359" i="37" l="1"/>
  <c r="H360" i="37"/>
  <c r="H361" i="37"/>
  <c r="H358" i="37" l="1"/>
  <c r="H357" i="37" l="1"/>
  <c r="H356" i="37" l="1"/>
  <c r="H355" i="37" l="1"/>
  <c r="H354" i="37" l="1"/>
  <c r="H353" i="37" l="1"/>
  <c r="H351" i="37"/>
  <c r="H352" i="37"/>
  <c r="H350" i="37" l="1"/>
  <c r="H349" i="37" l="1"/>
  <c r="H348" i="37" l="1"/>
  <c r="H346" i="37" l="1"/>
  <c r="H347" i="37"/>
  <c r="H344" i="37" l="1"/>
  <c r="H345" i="37" l="1"/>
  <c r="H343" i="37" l="1"/>
  <c r="H342" i="37" l="1"/>
  <c r="H341" i="37" l="1"/>
  <c r="H337" i="37" l="1"/>
  <c r="H338" i="37"/>
  <c r="H339" i="37"/>
  <c r="H340" i="37"/>
  <c r="C340" i="37"/>
  <c r="C341" i="37" s="1"/>
  <c r="F341" i="37" l="1"/>
  <c r="C342" i="37"/>
  <c r="H333" i="37"/>
  <c r="H334" i="37"/>
  <c r="H335" i="37"/>
  <c r="H336" i="37"/>
  <c r="F342" i="37" l="1"/>
  <c r="C343" i="37"/>
  <c r="C344" i="37" s="1"/>
  <c r="F344" i="37" s="1"/>
  <c r="H332" i="37"/>
  <c r="F343" i="37" l="1"/>
  <c r="H331" i="37"/>
  <c r="C345" i="37" l="1"/>
  <c r="H330" i="37"/>
  <c r="F345" i="37" l="1"/>
  <c r="C346" i="37"/>
  <c r="H329" i="37"/>
  <c r="F346" i="37" l="1"/>
  <c r="C347" i="37"/>
  <c r="H328" i="37"/>
  <c r="F347" i="37" l="1"/>
  <c r="C348" i="37"/>
  <c r="H327" i="37"/>
  <c r="F348" i="37" l="1"/>
  <c r="C349" i="37"/>
  <c r="C350" i="37" s="1"/>
  <c r="C351" i="37" s="1"/>
  <c r="C352" i="37" s="1"/>
  <c r="C353" i="37" s="1"/>
  <c r="C354" i="37" s="1"/>
  <c r="C355" i="37" s="1"/>
  <c r="C356" i="37" s="1"/>
  <c r="C357" i="37" s="1"/>
  <c r="C358" i="37" s="1"/>
  <c r="H326" i="37"/>
  <c r="H325" i="37"/>
  <c r="C359" i="37" l="1"/>
  <c r="F358" i="37"/>
  <c r="F349" i="37"/>
  <c r="H324" i="37"/>
  <c r="C360" i="37" l="1"/>
  <c r="F359" i="37"/>
  <c r="F350" i="37"/>
  <c r="H323" i="37"/>
  <c r="C361" i="37" l="1"/>
  <c r="F360" i="37"/>
  <c r="F351" i="37"/>
  <c r="H322" i="37"/>
  <c r="C362" i="37" l="1"/>
  <c r="F361" i="37"/>
  <c r="F352" i="37"/>
  <c r="H321" i="37"/>
  <c r="C363" i="37" l="1"/>
  <c r="F362" i="37"/>
  <c r="F353" i="37"/>
  <c r="H320" i="37"/>
  <c r="C364" i="37" l="1"/>
  <c r="F363" i="37"/>
  <c r="F354" i="37"/>
  <c r="H319" i="37"/>
  <c r="C365" i="37" l="1"/>
  <c r="F364" i="37"/>
  <c r="F355" i="37"/>
  <c r="F357" i="37"/>
  <c r="H318" i="37"/>
  <c r="C366" i="37" l="1"/>
  <c r="F365" i="37"/>
  <c r="F356" i="37"/>
  <c r="H217" i="37"/>
  <c r="H218" i="37"/>
  <c r="H219" i="37"/>
  <c r="H220" i="37"/>
  <c r="H221" i="37"/>
  <c r="H222" i="37"/>
  <c r="H223" i="37"/>
  <c r="H224" i="37"/>
  <c r="H225" i="37"/>
  <c r="H226" i="37"/>
  <c r="H227" i="37"/>
  <c r="H228" i="37"/>
  <c r="H229" i="37"/>
  <c r="H230" i="37"/>
  <c r="H231" i="37"/>
  <c r="H232" i="37"/>
  <c r="H233" i="37"/>
  <c r="H234" i="37"/>
  <c r="H235" i="37"/>
  <c r="H236" i="37"/>
  <c r="H237" i="37"/>
  <c r="H317" i="37"/>
  <c r="C367" i="37" l="1"/>
  <c r="F366" i="37"/>
  <c r="H316" i="37"/>
  <c r="C368" i="37" l="1"/>
  <c r="F367" i="37"/>
  <c r="H315" i="37"/>
  <c r="C369" i="37" l="1"/>
  <c r="F368" i="37"/>
  <c r="H314" i="37"/>
  <c r="C370" i="37" l="1"/>
  <c r="F369" i="37"/>
  <c r="H313" i="37"/>
  <c r="F370" i="37" l="1"/>
  <c r="C371" i="37"/>
  <c r="H312" i="37"/>
  <c r="F371" i="37" l="1"/>
  <c r="C372" i="37"/>
  <c r="H311" i="37"/>
  <c r="H310" i="37"/>
  <c r="F372" i="37" l="1"/>
  <c r="C373" i="37"/>
  <c r="C374" i="37" s="1"/>
  <c r="F374" i="37" s="1"/>
  <c r="H309" i="37"/>
  <c r="C375" i="37" l="1"/>
  <c r="F375" i="37" s="1"/>
  <c r="F373" i="37"/>
  <c r="H308" i="37"/>
  <c r="C376" i="37" l="1"/>
  <c r="F376" i="37" s="1"/>
  <c r="H307" i="37"/>
  <c r="C377" i="37" l="1"/>
  <c r="H306" i="37"/>
  <c r="C378" i="37" l="1"/>
  <c r="F377" i="37"/>
  <c r="H304" i="37"/>
  <c r="H305" i="37"/>
  <c r="C379" i="37" l="1"/>
  <c r="F378" i="37"/>
  <c r="H303" i="37"/>
  <c r="C380" i="37" l="1"/>
  <c r="F379" i="37"/>
  <c r="H302" i="37"/>
  <c r="F380" i="37" l="1"/>
  <c r="C381" i="37"/>
  <c r="H301" i="37"/>
  <c r="F381" i="37" l="1"/>
  <c r="C382" i="37"/>
  <c r="H300" i="37"/>
  <c r="F382" i="37" l="1"/>
  <c r="C383" i="37"/>
  <c r="H299" i="37"/>
  <c r="F383" i="37" l="1"/>
  <c r="C384" i="37"/>
  <c r="H298" i="37"/>
  <c r="F384" i="37" l="1"/>
  <c r="C385" i="37"/>
  <c r="H297" i="37"/>
  <c r="F385" i="37" l="1"/>
  <c r="C386" i="37"/>
  <c r="H296" i="37"/>
  <c r="F386" i="37" l="1"/>
  <c r="C387" i="37"/>
  <c r="H295" i="37"/>
  <c r="F387" i="37" l="1"/>
  <c r="C388" i="37"/>
  <c r="C389" i="37" s="1"/>
  <c r="H294" i="37"/>
  <c r="F389" i="37" l="1"/>
  <c r="C390" i="37"/>
  <c r="F388" i="37"/>
  <c r="H293" i="37"/>
  <c r="F390" i="37" l="1"/>
  <c r="C391" i="37"/>
  <c r="H291" i="37"/>
  <c r="H292" i="37"/>
  <c r="F391" i="37" l="1"/>
  <c r="C392" i="37"/>
  <c r="H289" i="37"/>
  <c r="H290" i="37"/>
  <c r="F392" i="37" l="1"/>
  <c r="C393" i="37"/>
  <c r="H288" i="37"/>
  <c r="F393" i="37" l="1"/>
  <c r="C394" i="37"/>
  <c r="H287" i="37"/>
  <c r="F394" i="37" l="1"/>
  <c r="C395" i="37"/>
  <c r="H286" i="37"/>
  <c r="F395" i="37" l="1"/>
  <c r="C396" i="37"/>
  <c r="H285" i="37"/>
  <c r="F396" i="37" l="1"/>
  <c r="C397" i="37"/>
  <c r="H284" i="37"/>
  <c r="F397" i="37" l="1"/>
  <c r="C398" i="37"/>
  <c r="H283" i="37"/>
  <c r="F398" i="37" l="1"/>
  <c r="C399" i="37"/>
  <c r="H281" i="37"/>
  <c r="H282" i="37"/>
  <c r="F399" i="37" l="1"/>
  <c r="C400" i="37"/>
  <c r="H280" i="37"/>
  <c r="C401" i="37" l="1"/>
  <c r="F400" i="37"/>
  <c r="H279" i="37"/>
  <c r="F401" i="37" l="1"/>
  <c r="C402" i="37"/>
  <c r="H278" i="37"/>
  <c r="F402" i="37" l="1"/>
  <c r="C403" i="37"/>
  <c r="H277" i="37"/>
  <c r="F403" i="37" l="1"/>
  <c r="C404" i="37"/>
  <c r="H276" i="37"/>
  <c r="F404" i="37" l="1"/>
  <c r="C405" i="37"/>
  <c r="H275" i="37"/>
  <c r="F405" i="37" l="1"/>
  <c r="C406" i="37"/>
  <c r="H274" i="37"/>
  <c r="F406" i="37" l="1"/>
  <c r="C407" i="37"/>
  <c r="H272" i="37"/>
  <c r="H273" i="37"/>
  <c r="F407" i="37" l="1"/>
  <c r="C408" i="37"/>
  <c r="H271" i="37"/>
  <c r="F408" i="37" l="1"/>
  <c r="C409" i="37"/>
  <c r="H270" i="37"/>
  <c r="F409" i="37" l="1"/>
  <c r="C410" i="37"/>
  <c r="H269" i="37"/>
  <c r="F410" i="37" l="1"/>
  <c r="C411" i="37"/>
  <c r="H268" i="37"/>
  <c r="F411" i="37" l="1"/>
  <c r="C412" i="37"/>
  <c r="H267" i="37"/>
  <c r="F412" i="37" l="1"/>
  <c r="C413" i="37"/>
  <c r="H266" i="37"/>
  <c r="F413" i="37" l="1"/>
  <c r="C414" i="37"/>
  <c r="H265" i="37"/>
  <c r="F414" i="37" l="1"/>
  <c r="C415" i="37"/>
  <c r="H264" i="37"/>
  <c r="F415" i="37" l="1"/>
  <c r="C416" i="37"/>
  <c r="H263" i="37"/>
  <c r="F416" i="37" l="1"/>
  <c r="C417" i="37"/>
  <c r="H262" i="37"/>
  <c r="F417" i="37" l="1"/>
  <c r="C418" i="37"/>
  <c r="C419" i="37" s="1"/>
  <c r="H261" i="37"/>
  <c r="F419" i="37" l="1"/>
  <c r="C420" i="37"/>
  <c r="F418" i="37"/>
  <c r="H260" i="37"/>
  <c r="F420" i="37" l="1"/>
  <c r="C421" i="37"/>
  <c r="H259" i="37"/>
  <c r="F421" i="37" l="1"/>
  <c r="C422" i="37"/>
  <c r="H258" i="37"/>
  <c r="F422" i="37" l="1"/>
  <c r="C423" i="37"/>
  <c r="H257" i="37"/>
  <c r="F423" i="37" l="1"/>
  <c r="C424" i="37"/>
  <c r="H256" i="37"/>
  <c r="F424" i="37" l="1"/>
  <c r="C425" i="37"/>
  <c r="H255" i="37"/>
  <c r="F425" i="37" l="1"/>
  <c r="C426" i="37"/>
  <c r="H254" i="37"/>
  <c r="F426" i="37" l="1"/>
  <c r="C427" i="37"/>
  <c r="H253" i="37"/>
  <c r="F427" i="37" l="1"/>
  <c r="C428" i="37"/>
  <c r="H252" i="37"/>
  <c r="C249" i="37"/>
  <c r="C250" i="37" s="1"/>
  <c r="C251" i="37" s="1"/>
  <c r="C252" i="37" s="1"/>
  <c r="F428" i="37" l="1"/>
  <c r="C429" i="37"/>
  <c r="F252" i="37"/>
  <c r="C253" i="37"/>
  <c r="F251" i="37"/>
  <c r="H251" i="37"/>
  <c r="F429" i="37" l="1"/>
  <c r="C430" i="37"/>
  <c r="F253" i="37"/>
  <c r="C254" i="37"/>
  <c r="H250" i="37"/>
  <c r="F250" i="37"/>
  <c r="F430" i="37" l="1"/>
  <c r="C431" i="37"/>
  <c r="F254" i="37"/>
  <c r="C255" i="37"/>
  <c r="H249" i="37"/>
  <c r="F249" i="37"/>
  <c r="F431" i="37" l="1"/>
  <c r="C432" i="37"/>
  <c r="F255" i="37"/>
  <c r="C256" i="37"/>
  <c r="H248" i="37"/>
  <c r="F248" i="37"/>
  <c r="F432" i="37" l="1"/>
  <c r="C433" i="37"/>
  <c r="F256" i="37"/>
  <c r="C257" i="37"/>
  <c r="H247" i="37"/>
  <c r="F247" i="37"/>
  <c r="F433" i="37" l="1"/>
  <c r="C434" i="37"/>
  <c r="F257" i="37"/>
  <c r="C258" i="37"/>
  <c r="H246" i="37"/>
  <c r="F434" i="37" l="1"/>
  <c r="C435" i="37"/>
  <c r="F258" i="37"/>
  <c r="C259" i="37"/>
  <c r="F246" i="37"/>
  <c r="F435" i="37" l="1"/>
  <c r="C436" i="37"/>
  <c r="F259" i="37"/>
  <c r="C260" i="37"/>
  <c r="H245" i="37"/>
  <c r="F245" i="37"/>
  <c r="F436" i="37" l="1"/>
  <c r="C437" i="37"/>
  <c r="F260" i="37"/>
  <c r="C261" i="37"/>
  <c r="H244" i="37"/>
  <c r="F244" i="37"/>
  <c r="F437" i="37" l="1"/>
  <c r="C438" i="37"/>
  <c r="F261" i="37"/>
  <c r="C262" i="37"/>
  <c r="H243" i="37"/>
  <c r="F243" i="37"/>
  <c r="F438" i="37" l="1"/>
  <c r="C439" i="37"/>
  <c r="F262" i="37"/>
  <c r="C263" i="37"/>
  <c r="H242" i="37"/>
  <c r="F242" i="37"/>
  <c r="F439" i="37" l="1"/>
  <c r="C440" i="37"/>
  <c r="F263" i="37"/>
  <c r="C264" i="37"/>
  <c r="H241" i="37"/>
  <c r="F241" i="37"/>
  <c r="F440" i="37" l="1"/>
  <c r="C441" i="37"/>
  <c r="F264" i="37"/>
  <c r="C265" i="37"/>
  <c r="H240" i="37"/>
  <c r="F240" i="37"/>
  <c r="F441" i="37" l="1"/>
  <c r="C442" i="37"/>
  <c r="F265" i="37"/>
  <c r="C266" i="37"/>
  <c r="H239" i="37"/>
  <c r="F239" i="37"/>
  <c r="F442" i="37" l="1"/>
  <c r="C443" i="37"/>
  <c r="F266" i="37"/>
  <c r="C267" i="37"/>
  <c r="H238" i="37"/>
  <c r="H216" i="37"/>
  <c r="F238" i="37"/>
  <c r="F443" i="37" l="1"/>
  <c r="C444" i="37"/>
  <c r="F267" i="37"/>
  <c r="C268" i="37"/>
  <c r="F237" i="37"/>
  <c r="F444" i="37" l="1"/>
  <c r="C445" i="37"/>
  <c r="F268" i="37"/>
  <c r="C269" i="37"/>
  <c r="F236" i="37"/>
  <c r="F445" i="37" l="1"/>
  <c r="C446" i="37"/>
  <c r="F269" i="37"/>
  <c r="C270" i="37"/>
  <c r="F235" i="37"/>
  <c r="F446" i="37" l="1"/>
  <c r="C447" i="37"/>
  <c r="F270" i="37"/>
  <c r="C271" i="37"/>
  <c r="F234" i="37"/>
  <c r="F447" i="37" l="1"/>
  <c r="C448" i="37"/>
  <c r="F271" i="37"/>
  <c r="C272" i="37"/>
  <c r="F233" i="37"/>
  <c r="F448" i="37" l="1"/>
  <c r="C449" i="37"/>
  <c r="F272" i="37"/>
  <c r="C273" i="37"/>
  <c r="F232" i="37"/>
  <c r="F449" i="37" l="1"/>
  <c r="C450" i="37"/>
  <c r="F273" i="37"/>
  <c r="C274" i="37"/>
  <c r="F231" i="37"/>
  <c r="F450" i="37" l="1"/>
  <c r="C451" i="37"/>
  <c r="F274" i="37"/>
  <c r="C275" i="37"/>
  <c r="F230" i="37"/>
  <c r="F451" i="37" l="1"/>
  <c r="C452" i="37"/>
  <c r="F275" i="37"/>
  <c r="C276" i="37"/>
  <c r="F229" i="37"/>
  <c r="F452" i="37" l="1"/>
  <c r="C453" i="37"/>
  <c r="F276" i="37"/>
  <c r="C277" i="37"/>
  <c r="F228" i="37"/>
  <c r="F453" i="37" l="1"/>
  <c r="C454" i="37"/>
  <c r="F277" i="37"/>
  <c r="C278" i="37"/>
  <c r="F9" i="37"/>
  <c r="G9" i="37" s="1"/>
  <c r="C19" i="37"/>
  <c r="C20" i="37" s="1"/>
  <c r="C21" i="37" s="1"/>
  <c r="C22" i="37" s="1"/>
  <c r="C23" i="37" s="1"/>
  <c r="C24" i="37" s="1"/>
  <c r="C25" i="37" s="1"/>
  <c r="C26" i="37" s="1"/>
  <c r="C27" i="37" s="1"/>
  <c r="C28" i="37" s="1"/>
  <c r="C29" i="37" s="1"/>
  <c r="C30" i="37" s="1"/>
  <c r="C31" i="37" s="1"/>
  <c r="C32" i="37" s="1"/>
  <c r="C33" i="37" s="1"/>
  <c r="C34" i="37" s="1"/>
  <c r="C35" i="37" s="1"/>
  <c r="C36" i="37" s="1"/>
  <c r="C37" i="37" s="1"/>
  <c r="C38" i="37" s="1"/>
  <c r="C39" i="37" s="1"/>
  <c r="C40" i="37" s="1"/>
  <c r="C41" i="37" s="1"/>
  <c r="C42" i="37" s="1"/>
  <c r="C43" i="37" s="1"/>
  <c r="C44" i="37" s="1"/>
  <c r="C45" i="37" s="1"/>
  <c r="C46" i="37" s="1"/>
  <c r="C47" i="37" s="1"/>
  <c r="C48" i="37" s="1"/>
  <c r="C49" i="37" s="1"/>
  <c r="C50" i="37" s="1"/>
  <c r="C51" i="37" s="1"/>
  <c r="C52" i="37" s="1"/>
  <c r="C53" i="37" s="1"/>
  <c r="C54" i="37" s="1"/>
  <c r="C55" i="37" s="1"/>
  <c r="C56" i="37" s="1"/>
  <c r="C57" i="37" s="1"/>
  <c r="C58" i="37" s="1"/>
  <c r="C59" i="37" s="1"/>
  <c r="C60" i="37" s="1"/>
  <c r="C61" i="37" s="1"/>
  <c r="C62" i="37" s="1"/>
  <c r="C63" i="37" s="1"/>
  <c r="C64" i="37" s="1"/>
  <c r="C65" i="37" s="1"/>
  <c r="C66" i="37" s="1"/>
  <c r="C67" i="37" s="1"/>
  <c r="C68" i="37" s="1"/>
  <c r="C69" i="37" s="1"/>
  <c r="C70" i="37" s="1"/>
  <c r="C71" i="37" s="1"/>
  <c r="C72" i="37" s="1"/>
  <c r="C73" i="37" s="1"/>
  <c r="C74" i="37" s="1"/>
  <c r="C75" i="37" s="1"/>
  <c r="C76" i="37" s="1"/>
  <c r="C77" i="37" s="1"/>
  <c r="C78" i="37" s="1"/>
  <c r="C79" i="37" s="1"/>
  <c r="C80" i="37" s="1"/>
  <c r="C81" i="37" s="1"/>
  <c r="C82" i="37" s="1"/>
  <c r="C83" i="37" s="1"/>
  <c r="C84" i="37" s="1"/>
  <c r="C85" i="37" s="1"/>
  <c r="C86" i="37" s="1"/>
  <c r="C87" i="37" s="1"/>
  <c r="C88" i="37" s="1"/>
  <c r="C89" i="37" s="1"/>
  <c r="C90" i="37" s="1"/>
  <c r="C91" i="37" s="1"/>
  <c r="C92" i="37" s="1"/>
  <c r="C93" i="37" s="1"/>
  <c r="C94" i="37" s="1"/>
  <c r="C95" i="37" s="1"/>
  <c r="C96" i="37" s="1"/>
  <c r="C97" i="37" s="1"/>
  <c r="C98" i="37" s="1"/>
  <c r="C99" i="37" s="1"/>
  <c r="C100" i="37" s="1"/>
  <c r="C101" i="37" s="1"/>
  <c r="C102" i="37" s="1"/>
  <c r="C103" i="37" s="1"/>
  <c r="C104" i="37" s="1"/>
  <c r="C105" i="37" s="1"/>
  <c r="C106" i="37" s="1"/>
  <c r="C107" i="37" s="1"/>
  <c r="C108" i="37" s="1"/>
  <c r="C109" i="37" s="1"/>
  <c r="C110" i="37" s="1"/>
  <c r="C111" i="37" s="1"/>
  <c r="C112" i="37" s="1"/>
  <c r="C113" i="37" s="1"/>
  <c r="C114" i="37" s="1"/>
  <c r="C115" i="37" s="1"/>
  <c r="C116" i="37" s="1"/>
  <c r="C117" i="37" s="1"/>
  <c r="C118" i="37" s="1"/>
  <c r="C119" i="37" s="1"/>
  <c r="C120" i="37" s="1"/>
  <c r="C121" i="37" s="1"/>
  <c r="C122" i="37" s="1"/>
  <c r="C123" i="37" s="1"/>
  <c r="C124" i="37" s="1"/>
  <c r="C125" i="37" s="1"/>
  <c r="C126" i="37" s="1"/>
  <c r="C127" i="37" s="1"/>
  <c r="C128" i="37" s="1"/>
  <c r="C129" i="37" s="1"/>
  <c r="C130" i="37" s="1"/>
  <c r="C131" i="37" s="1"/>
  <c r="C132" i="37" s="1"/>
  <c r="C133" i="37" s="1"/>
  <c r="C134" i="37" s="1"/>
  <c r="C135" i="37" s="1"/>
  <c r="C136" i="37" s="1"/>
  <c r="C137" i="37" s="1"/>
  <c r="C138" i="37" s="1"/>
  <c r="C139" i="37" s="1"/>
  <c r="C140" i="37" s="1"/>
  <c r="C141" i="37" s="1"/>
  <c r="C142" i="37" s="1"/>
  <c r="C143" i="37" s="1"/>
  <c r="C144" i="37" s="1"/>
  <c r="C145" i="37" s="1"/>
  <c r="C146" i="37" s="1"/>
  <c r="C147" i="37" s="1"/>
  <c r="C148" i="37" s="1"/>
  <c r="C149" i="37" s="1"/>
  <c r="C150" i="37" s="1"/>
  <c r="C151" i="37" s="1"/>
  <c r="C152" i="37" s="1"/>
  <c r="C153" i="37" s="1"/>
  <c r="C154" i="37" s="1"/>
  <c r="C155" i="37" s="1"/>
  <c r="C156" i="37" s="1"/>
  <c r="C157" i="37" s="1"/>
  <c r="C158" i="37" s="1"/>
  <c r="C159" i="37" s="1"/>
  <c r="C160" i="37" s="1"/>
  <c r="C161" i="37" s="1"/>
  <c r="C162" i="37" s="1"/>
  <c r="C163" i="37" s="1"/>
  <c r="C164" i="37" s="1"/>
  <c r="C165" i="37" s="1"/>
  <c r="C166" i="37" s="1"/>
  <c r="C167" i="37" s="1"/>
  <c r="C168" i="37" s="1"/>
  <c r="C169" i="37" s="1"/>
  <c r="C170" i="37" s="1"/>
  <c r="C171" i="37" s="1"/>
  <c r="C172" i="37" s="1"/>
  <c r="C173" i="37" s="1"/>
  <c r="C174" i="37" s="1"/>
  <c r="C175" i="37" s="1"/>
  <c r="C176" i="37" s="1"/>
  <c r="C177" i="37" s="1"/>
  <c r="C178" i="37" s="1"/>
  <c r="C179" i="37" s="1"/>
  <c r="C180" i="37" s="1"/>
  <c r="C181" i="37" s="1"/>
  <c r="C182" i="37" s="1"/>
  <c r="C183" i="37" s="1"/>
  <c r="C184" i="37" s="1"/>
  <c r="C185" i="37" s="1"/>
  <c r="C186" i="37" s="1"/>
  <c r="C187" i="37" s="1"/>
  <c r="C188" i="37" s="1"/>
  <c r="C189" i="37" s="1"/>
  <c r="C190" i="37" s="1"/>
  <c r="C191" i="37" s="1"/>
  <c r="C192" i="37" s="1"/>
  <c r="C193" i="37" s="1"/>
  <c r="C194" i="37" s="1"/>
  <c r="C195" i="37" s="1"/>
  <c r="C196" i="37" s="1"/>
  <c r="C197" i="37" s="1"/>
  <c r="C198" i="37" s="1"/>
  <c r="C199" i="37" s="1"/>
  <c r="C200" i="37" s="1"/>
  <c r="C201" i="37" s="1"/>
  <c r="C202" i="37" s="1"/>
  <c r="C203" i="37" s="1"/>
  <c r="C204" i="37" s="1"/>
  <c r="C205" i="37" s="1"/>
  <c r="C206" i="37" s="1"/>
  <c r="C207" i="37" s="1"/>
  <c r="C208" i="37" s="1"/>
  <c r="C209" i="37" s="1"/>
  <c r="C210" i="37" s="1"/>
  <c r="C211" i="37" s="1"/>
  <c r="C212" i="37" s="1"/>
  <c r="C213" i="37" s="1"/>
  <c r="C214" i="37" s="1"/>
  <c r="E10" i="37"/>
  <c r="F454" i="37" l="1"/>
  <c r="C455" i="37"/>
  <c r="F278" i="37"/>
  <c r="C279" i="37"/>
  <c r="C215" i="37"/>
  <c r="E11" i="37"/>
  <c r="F10" i="37"/>
  <c r="G10" i="37" s="1"/>
  <c r="F455" i="37" l="1"/>
  <c r="C456" i="37"/>
  <c r="F279" i="37"/>
  <c r="C280" i="37"/>
  <c r="C216" i="37"/>
  <c r="C217" i="37" s="1"/>
  <c r="C218" i="37" s="1"/>
  <c r="C219" i="37" s="1"/>
  <c r="C220" i="37" s="1"/>
  <c r="C221" i="37" s="1"/>
  <c r="E12" i="37"/>
  <c r="F11" i="37"/>
  <c r="G11" i="37" s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F456" i="37" l="1"/>
  <c r="C457" i="37"/>
  <c r="F280" i="37"/>
  <c r="C281" i="37"/>
  <c r="F222" i="37"/>
  <c r="F216" i="37"/>
  <c r="E13" i="37"/>
  <c r="F12" i="37"/>
  <c r="G12" i="37" s="1"/>
  <c r="D258" i="19"/>
  <c r="P149" i="19"/>
  <c r="P50" i="19"/>
  <c r="A3" i="20"/>
  <c r="P257" i="19"/>
  <c r="O258" i="19"/>
  <c r="Q257" i="19"/>
  <c r="C20" i="20" s="1"/>
  <c r="P225" i="19"/>
  <c r="P223" i="19"/>
  <c r="P222" i="19"/>
  <c r="P209" i="19"/>
  <c r="P196" i="19"/>
  <c r="P190" i="19"/>
  <c r="P183" i="19"/>
  <c r="P182" i="19"/>
  <c r="P180" i="19"/>
  <c r="P174" i="19"/>
  <c r="P160" i="19"/>
  <c r="P140" i="19"/>
  <c r="P136" i="19"/>
  <c r="P122" i="19"/>
  <c r="P111" i="19"/>
  <c r="P100" i="19"/>
  <c r="P99" i="19"/>
  <c r="P89" i="19"/>
  <c r="P73" i="19"/>
  <c r="P66" i="19"/>
  <c r="P65" i="19"/>
  <c r="P62" i="19"/>
  <c r="P59" i="19"/>
  <c r="P51" i="19"/>
  <c r="P31" i="19"/>
  <c r="P14" i="19"/>
  <c r="P13" i="19"/>
  <c r="P256" i="19"/>
  <c r="P255" i="19"/>
  <c r="P254" i="19"/>
  <c r="P253" i="19"/>
  <c r="P252" i="19"/>
  <c r="P251" i="19"/>
  <c r="P250" i="19"/>
  <c r="P249" i="19"/>
  <c r="P248" i="19"/>
  <c r="P247" i="19"/>
  <c r="P246" i="19"/>
  <c r="P245" i="19"/>
  <c r="P244" i="19"/>
  <c r="P243" i="19"/>
  <c r="P242" i="19"/>
  <c r="P241" i="19"/>
  <c r="P240" i="19"/>
  <c r="P239" i="19"/>
  <c r="P238" i="19"/>
  <c r="P237" i="19"/>
  <c r="P236" i="19"/>
  <c r="P235" i="19"/>
  <c r="P234" i="19"/>
  <c r="P233" i="19"/>
  <c r="P232" i="19"/>
  <c r="P231" i="19"/>
  <c r="P230" i="19"/>
  <c r="P229" i="19"/>
  <c r="P228" i="19"/>
  <c r="P227" i="19"/>
  <c r="P226" i="19"/>
  <c r="P224" i="19"/>
  <c r="P221" i="19"/>
  <c r="P220" i="19"/>
  <c r="P219" i="19"/>
  <c r="P218" i="19"/>
  <c r="P217" i="19"/>
  <c r="P216" i="19"/>
  <c r="P215" i="19"/>
  <c r="P214" i="19"/>
  <c r="P213" i="19"/>
  <c r="P212" i="19"/>
  <c r="P211" i="19"/>
  <c r="P210" i="19"/>
  <c r="P208" i="19"/>
  <c r="P207" i="19"/>
  <c r="P206" i="19"/>
  <c r="P205" i="19"/>
  <c r="P204" i="19"/>
  <c r="P203" i="19"/>
  <c r="P202" i="19"/>
  <c r="P201" i="19"/>
  <c r="P200" i="19"/>
  <c r="P199" i="19"/>
  <c r="P198" i="19"/>
  <c r="P197" i="19"/>
  <c r="P195" i="19"/>
  <c r="P194" i="19"/>
  <c r="P193" i="19"/>
  <c r="P192" i="19"/>
  <c r="P191" i="19"/>
  <c r="P189" i="19"/>
  <c r="P188" i="19"/>
  <c r="P187" i="19"/>
  <c r="P186" i="19"/>
  <c r="P185" i="19"/>
  <c r="P184" i="19"/>
  <c r="P181" i="19"/>
  <c r="P179" i="19"/>
  <c r="P178" i="19"/>
  <c r="P177" i="19"/>
  <c r="P176" i="19"/>
  <c r="P175" i="19"/>
  <c r="P173" i="19"/>
  <c r="P172" i="19"/>
  <c r="P171" i="19"/>
  <c r="P170" i="19"/>
  <c r="P169" i="19"/>
  <c r="P168" i="19"/>
  <c r="P167" i="19"/>
  <c r="P166" i="19"/>
  <c r="P165" i="19"/>
  <c r="P164" i="19"/>
  <c r="P163" i="19"/>
  <c r="P162" i="19"/>
  <c r="P161" i="19"/>
  <c r="P159" i="19"/>
  <c r="P158" i="19"/>
  <c r="P157" i="19"/>
  <c r="P156" i="19"/>
  <c r="P155" i="19"/>
  <c r="P154" i="19"/>
  <c r="P153" i="19"/>
  <c r="P152" i="19"/>
  <c r="P151" i="19"/>
  <c r="P150" i="19"/>
  <c r="P148" i="19"/>
  <c r="P147" i="19"/>
  <c r="P146" i="19"/>
  <c r="P145" i="19"/>
  <c r="P144" i="19"/>
  <c r="P143" i="19"/>
  <c r="P142" i="19"/>
  <c r="P141" i="19"/>
  <c r="P139" i="19"/>
  <c r="P138" i="19"/>
  <c r="P137" i="19"/>
  <c r="P135" i="19"/>
  <c r="P134" i="19"/>
  <c r="P133" i="19"/>
  <c r="P132" i="19"/>
  <c r="P131" i="19"/>
  <c r="P130" i="19"/>
  <c r="P129" i="19"/>
  <c r="P128" i="19"/>
  <c r="P127" i="19"/>
  <c r="P126" i="19"/>
  <c r="P125" i="19"/>
  <c r="P124" i="19"/>
  <c r="P123" i="19"/>
  <c r="P121" i="19"/>
  <c r="P120" i="19"/>
  <c r="P119" i="19"/>
  <c r="P118" i="19"/>
  <c r="P117" i="19"/>
  <c r="P116" i="19"/>
  <c r="P115" i="19"/>
  <c r="P114" i="19"/>
  <c r="P113" i="19"/>
  <c r="P112" i="19"/>
  <c r="P110" i="19"/>
  <c r="P109" i="19"/>
  <c r="P108" i="19"/>
  <c r="P107" i="19"/>
  <c r="P106" i="19"/>
  <c r="P105" i="19"/>
  <c r="P104" i="19"/>
  <c r="P103" i="19"/>
  <c r="P102" i="19"/>
  <c r="P101" i="19"/>
  <c r="P98" i="19"/>
  <c r="P97" i="19"/>
  <c r="P96" i="19"/>
  <c r="P95" i="19"/>
  <c r="P94" i="19"/>
  <c r="P93" i="19"/>
  <c r="P92" i="19"/>
  <c r="P91" i="19"/>
  <c r="P90" i="19"/>
  <c r="P88" i="19"/>
  <c r="P87" i="19"/>
  <c r="P86" i="19"/>
  <c r="P85" i="19"/>
  <c r="P84" i="19"/>
  <c r="P83" i="19"/>
  <c r="P82" i="19"/>
  <c r="P81" i="19"/>
  <c r="P80" i="19"/>
  <c r="P79" i="19"/>
  <c r="P78" i="19"/>
  <c r="P77" i="19"/>
  <c r="P76" i="19"/>
  <c r="P75" i="19"/>
  <c r="P74" i="19"/>
  <c r="P72" i="19"/>
  <c r="P71" i="19"/>
  <c r="P70" i="19"/>
  <c r="P69" i="19"/>
  <c r="P68" i="19"/>
  <c r="P67" i="19"/>
  <c r="P64" i="19"/>
  <c r="P63" i="19"/>
  <c r="P61" i="19"/>
  <c r="P60" i="19"/>
  <c r="P58" i="19"/>
  <c r="P57" i="19"/>
  <c r="P56" i="19"/>
  <c r="P55" i="19"/>
  <c r="P54" i="19"/>
  <c r="P53" i="19"/>
  <c r="P52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2" i="19"/>
  <c r="P11" i="19"/>
  <c r="P10" i="19"/>
  <c r="P9" i="19"/>
  <c r="M27" i="19"/>
  <c r="K237" i="19"/>
  <c r="H27" i="19"/>
  <c r="G237" i="19"/>
  <c r="F237" i="19"/>
  <c r="E27" i="19"/>
  <c r="M257" i="19"/>
  <c r="L257" i="19"/>
  <c r="K257" i="19"/>
  <c r="J257" i="19"/>
  <c r="I257" i="19"/>
  <c r="H257" i="19"/>
  <c r="G257" i="19"/>
  <c r="F257" i="19"/>
  <c r="E257" i="19"/>
  <c r="M155" i="19"/>
  <c r="K155" i="19"/>
  <c r="H155" i="19"/>
  <c r="G155" i="19"/>
  <c r="F155" i="19"/>
  <c r="E155" i="19"/>
  <c r="M134" i="19"/>
  <c r="K134" i="19"/>
  <c r="H134" i="19"/>
  <c r="G134" i="19"/>
  <c r="F134" i="19"/>
  <c r="E134" i="19"/>
  <c r="M100" i="19"/>
  <c r="K100" i="19"/>
  <c r="H100" i="19"/>
  <c r="G100" i="19"/>
  <c r="F100" i="19"/>
  <c r="E100" i="19"/>
  <c r="M203" i="19"/>
  <c r="K203" i="19"/>
  <c r="H203" i="19"/>
  <c r="G203" i="19"/>
  <c r="F203" i="19"/>
  <c r="E203" i="19"/>
  <c r="M8" i="19"/>
  <c r="M258" i="19" s="1"/>
  <c r="F8" i="19"/>
  <c r="F258" i="19" s="1"/>
  <c r="E8" i="19"/>
  <c r="E258" i="19" s="1"/>
  <c r="M65" i="19"/>
  <c r="K65" i="19"/>
  <c r="H65" i="19"/>
  <c r="G65" i="19"/>
  <c r="F65" i="19"/>
  <c r="E65" i="19"/>
  <c r="M187" i="19"/>
  <c r="K187" i="19"/>
  <c r="H187" i="19"/>
  <c r="G187" i="19"/>
  <c r="F187" i="19"/>
  <c r="E187" i="19"/>
  <c r="M83" i="19"/>
  <c r="K83" i="19"/>
  <c r="H83" i="19"/>
  <c r="G83" i="19"/>
  <c r="F83" i="19"/>
  <c r="E83" i="19"/>
  <c r="M175" i="19"/>
  <c r="K175" i="19"/>
  <c r="H175" i="19"/>
  <c r="G175" i="19"/>
  <c r="F175" i="19"/>
  <c r="E175" i="19"/>
  <c r="M44" i="19"/>
  <c r="K44" i="19"/>
  <c r="H44" i="19"/>
  <c r="G44" i="19"/>
  <c r="F44" i="19"/>
  <c r="E44" i="19"/>
  <c r="M115" i="19"/>
  <c r="K115" i="19"/>
  <c r="H115" i="19"/>
  <c r="G115" i="19"/>
  <c r="F115" i="19"/>
  <c r="E115" i="19"/>
  <c r="M217" i="19"/>
  <c r="K217" i="19"/>
  <c r="H217" i="19"/>
  <c r="G217" i="19"/>
  <c r="F217" i="19"/>
  <c r="E217" i="19"/>
  <c r="M237" i="19"/>
  <c r="F27" i="19"/>
  <c r="E237" i="19"/>
  <c r="H237" i="19"/>
  <c r="G27" i="19"/>
  <c r="K27" i="19"/>
  <c r="J44" i="19"/>
  <c r="I27" i="19"/>
  <c r="I44" i="19"/>
  <c r="I203" i="19"/>
  <c r="H8" i="19"/>
  <c r="H258" i="19" s="1"/>
  <c r="J100" i="19"/>
  <c r="J134" i="19"/>
  <c r="J83" i="19"/>
  <c r="J155" i="19"/>
  <c r="J187" i="19"/>
  <c r="J217" i="19"/>
  <c r="I100" i="19"/>
  <c r="I115" i="19"/>
  <c r="I175" i="19"/>
  <c r="J65" i="19"/>
  <c r="I187" i="19"/>
  <c r="J115" i="19"/>
  <c r="J175" i="19"/>
  <c r="I217" i="19"/>
  <c r="I83" i="19"/>
  <c r="J237" i="19"/>
  <c r="J203" i="19"/>
  <c r="K8" i="19"/>
  <c r="K258" i="19" s="1"/>
  <c r="I155" i="19"/>
  <c r="I134" i="19"/>
  <c r="I8" i="19"/>
  <c r="I258" i="19" s="1"/>
  <c r="G8" i="19"/>
  <c r="G258" i="19" s="1"/>
  <c r="I237" i="19"/>
  <c r="J27" i="19"/>
  <c r="I65" i="19"/>
  <c r="J8" i="19"/>
  <c r="J258" i="19" s="1"/>
  <c r="F457" i="37" l="1"/>
  <c r="C458" i="37"/>
  <c r="F281" i="37"/>
  <c r="C282" i="37"/>
  <c r="F223" i="37"/>
  <c r="E14" i="37"/>
  <c r="F13" i="37"/>
  <c r="G13" i="37" s="1"/>
  <c r="L217" i="19"/>
  <c r="L8" i="19"/>
  <c r="L187" i="19"/>
  <c r="L203" i="19"/>
  <c r="Q203" i="19"/>
  <c r="C16" i="20" s="1"/>
  <c r="Q217" i="19"/>
  <c r="C12" i="20" s="1"/>
  <c r="L83" i="19"/>
  <c r="Q115" i="19"/>
  <c r="C11" i="20" s="1"/>
  <c r="Q155" i="19"/>
  <c r="C6" i="20" s="1"/>
  <c r="Q175" i="19"/>
  <c r="C7" i="20" s="1"/>
  <c r="Q187" i="19"/>
  <c r="C17" i="20" s="1"/>
  <c r="Q237" i="19"/>
  <c r="C8" i="20" s="1"/>
  <c r="P8" i="19"/>
  <c r="Q8" i="19" s="1"/>
  <c r="Q27" i="19"/>
  <c r="C10" i="20" s="1"/>
  <c r="Q44" i="19"/>
  <c r="C13" i="20" s="1"/>
  <c r="Q65" i="19"/>
  <c r="C18" i="20" s="1"/>
  <c r="Q83" i="19"/>
  <c r="C9" i="20" s="1"/>
  <c r="Q100" i="19"/>
  <c r="C19" i="20" s="1"/>
  <c r="Q134" i="19"/>
  <c r="C14" i="20" s="1"/>
  <c r="L175" i="19"/>
  <c r="L155" i="19"/>
  <c r="L27" i="19"/>
  <c r="L237" i="19"/>
  <c r="L44" i="19"/>
  <c r="L65" i="19"/>
  <c r="L134" i="19"/>
  <c r="L115" i="19"/>
  <c r="L100" i="19"/>
  <c r="F458" i="37" l="1"/>
  <c r="C459" i="37"/>
  <c r="F282" i="37"/>
  <c r="C283" i="37"/>
  <c r="F224" i="37"/>
  <c r="F221" i="37"/>
  <c r="F220" i="37"/>
  <c r="E15" i="37"/>
  <c r="F14" i="37"/>
  <c r="G14" i="37" s="1"/>
  <c r="P258" i="19"/>
  <c r="L258" i="19"/>
  <c r="Q258" i="19"/>
  <c r="C15" i="20"/>
  <c r="C21" i="20" s="1"/>
  <c r="F459" i="37" l="1"/>
  <c r="C460" i="37"/>
  <c r="F283" i="37"/>
  <c r="C284" i="37"/>
  <c r="F225" i="37"/>
  <c r="E16" i="37"/>
  <c r="F15" i="37"/>
  <c r="G15" i="37" s="1"/>
  <c r="F460" i="37" l="1"/>
  <c r="C461" i="37"/>
  <c r="F284" i="37"/>
  <c r="C285" i="37"/>
  <c r="F227" i="37"/>
  <c r="F226" i="37"/>
  <c r="E17" i="37"/>
  <c r="F16" i="37"/>
  <c r="G16" i="37" s="1"/>
  <c r="F461" i="37" l="1"/>
  <c r="C462" i="37"/>
  <c r="F285" i="37"/>
  <c r="C286" i="37"/>
  <c r="E18" i="37"/>
  <c r="F17" i="37"/>
  <c r="G17" i="37" s="1"/>
  <c r="C463" i="37" l="1"/>
  <c r="F462" i="37"/>
  <c r="F286" i="37"/>
  <c r="C287" i="37"/>
  <c r="E19" i="37"/>
  <c r="F18" i="37"/>
  <c r="G18" i="37" s="1"/>
  <c r="F463" i="37" l="1"/>
  <c r="C464" i="37"/>
  <c r="F287" i="37"/>
  <c r="C288" i="37"/>
  <c r="E20" i="37"/>
  <c r="F19" i="37"/>
  <c r="G19" i="37" s="1"/>
  <c r="F464" i="37" l="1"/>
  <c r="C465" i="37"/>
  <c r="F288" i="37"/>
  <c r="C289" i="37"/>
  <c r="C290" i="37" s="1"/>
  <c r="E21" i="37"/>
  <c r="F20" i="37"/>
  <c r="G20" i="37" s="1"/>
  <c r="F465" i="37" l="1"/>
  <c r="C466" i="37"/>
  <c r="F290" i="37"/>
  <c r="C291" i="37"/>
  <c r="F289" i="37"/>
  <c r="E22" i="37"/>
  <c r="F21" i="37"/>
  <c r="G21" i="37" s="1"/>
  <c r="F466" i="37" l="1"/>
  <c r="C467" i="37"/>
  <c r="F467" i="37" s="1"/>
  <c r="C292" i="37"/>
  <c r="F291" i="37"/>
  <c r="E23" i="37"/>
  <c r="F22" i="37"/>
  <c r="G22" i="37" s="1"/>
  <c r="F292" i="37" l="1"/>
  <c r="C293" i="37"/>
  <c r="E24" i="37"/>
  <c r="F23" i="37"/>
  <c r="G23" i="37" s="1"/>
  <c r="F293" i="37" l="1"/>
  <c r="C294" i="37"/>
  <c r="E25" i="37"/>
  <c r="F24" i="37"/>
  <c r="G24" i="37" s="1"/>
  <c r="F294" i="37" l="1"/>
  <c r="C295" i="37"/>
  <c r="E26" i="37"/>
  <c r="F25" i="37"/>
  <c r="G25" i="37" s="1"/>
  <c r="F295" i="37" l="1"/>
  <c r="C296" i="37"/>
  <c r="E27" i="37"/>
  <c r="F26" i="37"/>
  <c r="G26" i="37" s="1"/>
  <c r="F296" i="37" l="1"/>
  <c r="C297" i="37"/>
  <c r="E28" i="37"/>
  <c r="F27" i="37"/>
  <c r="G27" i="37" s="1"/>
  <c r="F297" i="37" l="1"/>
  <c r="C298" i="37"/>
  <c r="E29" i="37"/>
  <c r="F28" i="37"/>
  <c r="G28" i="37" s="1"/>
  <c r="F298" i="37" l="1"/>
  <c r="C299" i="37"/>
  <c r="E30" i="37"/>
  <c r="F29" i="37"/>
  <c r="G29" i="37" s="1"/>
  <c r="F299" i="37" l="1"/>
  <c r="C300" i="37"/>
  <c r="E31" i="37"/>
  <c r="F30" i="37"/>
  <c r="G30" i="37" s="1"/>
  <c r="F300" i="37" l="1"/>
  <c r="C301" i="37"/>
  <c r="E32" i="37"/>
  <c r="F31" i="37"/>
  <c r="G31" i="37" s="1"/>
  <c r="F301" i="37" l="1"/>
  <c r="C302" i="37"/>
  <c r="E33" i="37"/>
  <c r="F32" i="37"/>
  <c r="G32" i="37" s="1"/>
  <c r="F302" i="37" l="1"/>
  <c r="C303" i="37"/>
  <c r="E34" i="37"/>
  <c r="F33" i="37"/>
  <c r="G33" i="37" s="1"/>
  <c r="F303" i="37" l="1"/>
  <c r="C304" i="37"/>
  <c r="E35" i="37"/>
  <c r="F34" i="37"/>
  <c r="G34" i="37" s="1"/>
  <c r="F304" i="37" l="1"/>
  <c r="C305" i="37"/>
  <c r="E36" i="37"/>
  <c r="F35" i="37"/>
  <c r="G35" i="37" s="1"/>
  <c r="F305" i="37" l="1"/>
  <c r="C306" i="37"/>
  <c r="E37" i="37"/>
  <c r="F36" i="37"/>
  <c r="G36" i="37" s="1"/>
  <c r="F306" i="37" l="1"/>
  <c r="C307" i="37"/>
  <c r="E38" i="37"/>
  <c r="F37" i="37"/>
  <c r="G37" i="37" s="1"/>
  <c r="F307" i="37" l="1"/>
  <c r="C308" i="37"/>
  <c r="E39" i="37"/>
  <c r="F38" i="37"/>
  <c r="G38" i="37" s="1"/>
  <c r="F308" i="37" l="1"/>
  <c r="C309" i="37"/>
  <c r="E40" i="37"/>
  <c r="F39" i="37"/>
  <c r="G39" i="37" s="1"/>
  <c r="F309" i="37" l="1"/>
  <c r="C310" i="37"/>
  <c r="E41" i="37"/>
  <c r="F40" i="37"/>
  <c r="G40" i="37" s="1"/>
  <c r="F310" i="37" l="1"/>
  <c r="C311" i="37"/>
  <c r="E42" i="37"/>
  <c r="F41" i="37"/>
  <c r="G41" i="37" s="1"/>
  <c r="F311" i="37" l="1"/>
  <c r="C312" i="37"/>
  <c r="E43" i="37"/>
  <c r="F42" i="37"/>
  <c r="F312" i="37" l="1"/>
  <c r="C313" i="37"/>
  <c r="E44" i="37"/>
  <c r="F43" i="37"/>
  <c r="F313" i="37" l="1"/>
  <c r="C314" i="37"/>
  <c r="E45" i="37"/>
  <c r="F44" i="37"/>
  <c r="F314" i="37" l="1"/>
  <c r="C315" i="37"/>
  <c r="E46" i="37"/>
  <c r="F45" i="37"/>
  <c r="F315" i="37" l="1"/>
  <c r="C316" i="37"/>
  <c r="E47" i="37"/>
  <c r="F46" i="37"/>
  <c r="F316" i="37" l="1"/>
  <c r="C317" i="37"/>
  <c r="E48" i="37"/>
  <c r="F47" i="37"/>
  <c r="F317" i="37" l="1"/>
  <c r="C318" i="37"/>
  <c r="E49" i="37"/>
  <c r="F48" i="37"/>
  <c r="F318" i="37" l="1"/>
  <c r="C319" i="37"/>
  <c r="E50" i="37"/>
  <c r="F49" i="37"/>
  <c r="F319" i="37" l="1"/>
  <c r="C320" i="37"/>
  <c r="E51" i="37"/>
  <c r="F50" i="37"/>
  <c r="F320" i="37" l="1"/>
  <c r="C321" i="37"/>
  <c r="F321" i="37" s="1"/>
  <c r="E52" i="37"/>
  <c r="F51" i="37"/>
  <c r="C322" i="37" l="1"/>
  <c r="F322" i="37" s="1"/>
  <c r="E53" i="37"/>
  <c r="F52" i="37"/>
  <c r="C323" i="37" l="1"/>
  <c r="F323" i="37" s="1"/>
  <c r="E54" i="37"/>
  <c r="F53" i="37"/>
  <c r="C324" i="37" l="1"/>
  <c r="F324" i="37" s="1"/>
  <c r="E55" i="37"/>
  <c r="F54" i="37"/>
  <c r="C325" i="37" l="1"/>
  <c r="C326" i="37" s="1"/>
  <c r="C327" i="37" s="1"/>
  <c r="E56" i="37"/>
  <c r="F55" i="37"/>
  <c r="F325" i="37" l="1"/>
  <c r="E57" i="37"/>
  <c r="F56" i="37"/>
  <c r="F328" i="37" l="1"/>
  <c r="F327" i="37"/>
  <c r="F326" i="37"/>
  <c r="E58" i="37"/>
  <c r="F57" i="37"/>
  <c r="F329" i="37" l="1"/>
  <c r="E59" i="37"/>
  <c r="F58" i="37"/>
  <c r="F330" i="37" l="1"/>
  <c r="E60" i="37"/>
  <c r="F59" i="37"/>
  <c r="F331" i="37" l="1"/>
  <c r="E61" i="37"/>
  <c r="F60" i="37"/>
  <c r="F332" i="37" l="1"/>
  <c r="E62" i="37"/>
  <c r="F61" i="37"/>
  <c r="F333" i="37" l="1"/>
  <c r="E63" i="37"/>
  <c r="F62" i="37"/>
  <c r="F334" i="37" l="1"/>
  <c r="E64" i="37"/>
  <c r="F63" i="37"/>
  <c r="F335" i="37" l="1"/>
  <c r="E65" i="37"/>
  <c r="F64" i="37"/>
  <c r="F336" i="37" l="1"/>
  <c r="E66" i="37"/>
  <c r="F65" i="37"/>
  <c r="F337" i="37" l="1"/>
  <c r="E67" i="37"/>
  <c r="F66" i="37"/>
  <c r="F338" i="37" l="1"/>
  <c r="E68" i="37"/>
  <c r="F67" i="37"/>
  <c r="F340" i="37" l="1"/>
  <c r="F339" i="37"/>
  <c r="E69" i="37"/>
  <c r="F68" i="37"/>
  <c r="E70" i="37" l="1"/>
  <c r="F69" i="37"/>
  <c r="E71" i="37" l="1"/>
  <c r="F70" i="37"/>
  <c r="E72" i="37" l="1"/>
  <c r="F71" i="37"/>
  <c r="E73" i="37" l="1"/>
  <c r="F72" i="37"/>
  <c r="E74" i="37" l="1"/>
  <c r="F73" i="37"/>
  <c r="E75" i="37" l="1"/>
  <c r="F74" i="37"/>
  <c r="E76" i="37" l="1"/>
  <c r="F75" i="37"/>
  <c r="E77" i="37" l="1"/>
  <c r="F76" i="37"/>
  <c r="E78" i="37" l="1"/>
  <c r="F77" i="37"/>
  <c r="E79" i="37" l="1"/>
  <c r="F78" i="37"/>
  <c r="E80" i="37" l="1"/>
  <c r="F79" i="37"/>
  <c r="E81" i="37" l="1"/>
  <c r="F80" i="37"/>
  <c r="E82" i="37" l="1"/>
  <c r="F81" i="37"/>
  <c r="E83" i="37" l="1"/>
  <c r="F82" i="37"/>
  <c r="E84" i="37" l="1"/>
  <c r="F83" i="37"/>
  <c r="E85" i="37" l="1"/>
  <c r="F84" i="37"/>
  <c r="E86" i="37" l="1"/>
  <c r="F85" i="37"/>
  <c r="E87" i="37" l="1"/>
  <c r="F86" i="37"/>
  <c r="E88" i="37" l="1"/>
  <c r="F87" i="37"/>
  <c r="E89" i="37" l="1"/>
  <c r="F88" i="37"/>
  <c r="E90" i="37" l="1"/>
  <c r="F89" i="37"/>
  <c r="E91" i="37" l="1"/>
  <c r="F90" i="37"/>
  <c r="E92" i="37" l="1"/>
  <c r="F91" i="37"/>
  <c r="E93" i="37" l="1"/>
  <c r="F92" i="37"/>
  <c r="E94" i="37" l="1"/>
  <c r="F93" i="37"/>
  <c r="E95" i="37" l="1"/>
  <c r="F94" i="37"/>
  <c r="E96" i="37" l="1"/>
  <c r="F95" i="37"/>
  <c r="E97" i="37" l="1"/>
  <c r="F96" i="37"/>
  <c r="E98" i="37" l="1"/>
  <c r="F97" i="37"/>
  <c r="E99" i="37" l="1"/>
  <c r="F98" i="37"/>
  <c r="E100" i="37" l="1"/>
  <c r="F99" i="37"/>
  <c r="E101" i="37" l="1"/>
  <c r="F100" i="37"/>
  <c r="E102" i="37" l="1"/>
  <c r="F101" i="37"/>
  <c r="E103" i="37" l="1"/>
  <c r="F102" i="37"/>
  <c r="E104" i="37" l="1"/>
  <c r="F103" i="37"/>
  <c r="E105" i="37" l="1"/>
  <c r="F104" i="37"/>
  <c r="E106" i="37" l="1"/>
  <c r="F105" i="37"/>
  <c r="E107" i="37" l="1"/>
  <c r="F106" i="37"/>
  <c r="E108" i="37" l="1"/>
  <c r="F107" i="37"/>
  <c r="E109" i="37" l="1"/>
  <c r="F108" i="37"/>
  <c r="E110" i="37" l="1"/>
  <c r="F109" i="37"/>
  <c r="E111" i="37" l="1"/>
  <c r="F110" i="37"/>
  <c r="E112" i="37" l="1"/>
  <c r="F111" i="37"/>
  <c r="E113" i="37" l="1"/>
  <c r="F112" i="37"/>
  <c r="E114" i="37" l="1"/>
  <c r="F113" i="37"/>
  <c r="E115" i="37" l="1"/>
  <c r="F114" i="37"/>
  <c r="E116" i="37" l="1"/>
  <c r="F115" i="37"/>
  <c r="E117" i="37" l="1"/>
  <c r="F116" i="37"/>
  <c r="E118" i="37" l="1"/>
  <c r="F117" i="37"/>
  <c r="E119" i="37" l="1"/>
  <c r="F118" i="37"/>
  <c r="E120" i="37" l="1"/>
  <c r="F119" i="37"/>
  <c r="E121" i="37" l="1"/>
  <c r="F120" i="37"/>
  <c r="E122" i="37" l="1"/>
  <c r="F121" i="37"/>
  <c r="E123" i="37" l="1"/>
  <c r="F122" i="37"/>
  <c r="E124" i="37" l="1"/>
  <c r="F123" i="37"/>
  <c r="E125" i="37" l="1"/>
  <c r="F124" i="37"/>
  <c r="E126" i="37" l="1"/>
  <c r="F125" i="37"/>
  <c r="E127" i="37" l="1"/>
  <c r="F126" i="37"/>
  <c r="E128" i="37" l="1"/>
  <c r="F127" i="37"/>
  <c r="E129" i="37" l="1"/>
  <c r="F128" i="37"/>
  <c r="E130" i="37" l="1"/>
  <c r="F129" i="37"/>
  <c r="E131" i="37" l="1"/>
  <c r="F130" i="37"/>
  <c r="E132" i="37" l="1"/>
  <c r="F131" i="37"/>
  <c r="E133" i="37" l="1"/>
  <c r="F132" i="37"/>
  <c r="E134" i="37" l="1"/>
  <c r="F133" i="37"/>
  <c r="E135" i="37" l="1"/>
  <c r="F134" i="37"/>
  <c r="E136" i="37" l="1"/>
  <c r="F135" i="37"/>
  <c r="E137" i="37" l="1"/>
  <c r="F136" i="37"/>
  <c r="E138" i="37" l="1"/>
  <c r="F137" i="37"/>
  <c r="E139" i="37" l="1"/>
  <c r="F138" i="37"/>
  <c r="E140" i="37" l="1"/>
  <c r="F139" i="37"/>
  <c r="E141" i="37" l="1"/>
  <c r="F140" i="37"/>
  <c r="E142" i="37" l="1"/>
  <c r="F141" i="37"/>
  <c r="E143" i="37" l="1"/>
  <c r="F142" i="37"/>
  <c r="E144" i="37" l="1"/>
  <c r="F143" i="37"/>
  <c r="E145" i="37" l="1"/>
  <c r="F144" i="37"/>
  <c r="E146" i="37" l="1"/>
  <c r="F145" i="37"/>
  <c r="E147" i="37" l="1"/>
  <c r="F146" i="37"/>
  <c r="E148" i="37" l="1"/>
  <c r="F147" i="37"/>
  <c r="E149" i="37" l="1"/>
  <c r="F148" i="37"/>
  <c r="E150" i="37" l="1"/>
  <c r="F149" i="37"/>
  <c r="E151" i="37" l="1"/>
  <c r="F150" i="37"/>
  <c r="E152" i="37" l="1"/>
  <c r="F151" i="37"/>
  <c r="E153" i="37" l="1"/>
  <c r="F152" i="37"/>
  <c r="E154" i="37" l="1"/>
  <c r="F153" i="37"/>
  <c r="E155" i="37" l="1"/>
  <c r="F154" i="37"/>
  <c r="E156" i="37" l="1"/>
  <c r="F155" i="37"/>
  <c r="E157" i="37" l="1"/>
  <c r="F156" i="37"/>
  <c r="E158" i="37" l="1"/>
  <c r="F157" i="37"/>
  <c r="E159" i="37" l="1"/>
  <c r="F158" i="37"/>
  <c r="E160" i="37" l="1"/>
  <c r="F159" i="37"/>
  <c r="E161" i="37" l="1"/>
  <c r="F160" i="37"/>
  <c r="E162" i="37" l="1"/>
  <c r="F161" i="37"/>
  <c r="E163" i="37" l="1"/>
  <c r="F162" i="37"/>
  <c r="E164" i="37" l="1"/>
  <c r="F163" i="37"/>
  <c r="E165" i="37" l="1"/>
  <c r="F164" i="37"/>
  <c r="E166" i="37" l="1"/>
  <c r="F165" i="37"/>
  <c r="E167" i="37" l="1"/>
  <c r="F166" i="37"/>
  <c r="E168" i="37" l="1"/>
  <c r="F167" i="37"/>
  <c r="E169" i="37" l="1"/>
  <c r="F168" i="37"/>
  <c r="E170" i="37" l="1"/>
  <c r="F169" i="37"/>
  <c r="E171" i="37" l="1"/>
  <c r="F170" i="37"/>
  <c r="E172" i="37" l="1"/>
  <c r="F171" i="37"/>
  <c r="E173" i="37" l="1"/>
  <c r="F172" i="37"/>
  <c r="E174" i="37" l="1"/>
  <c r="F173" i="37"/>
  <c r="E175" i="37" l="1"/>
  <c r="F174" i="37"/>
  <c r="E176" i="37" l="1"/>
  <c r="F175" i="37"/>
  <c r="E177" i="37" l="1"/>
  <c r="F176" i="37"/>
  <c r="E178" i="37" l="1"/>
  <c r="F177" i="37"/>
  <c r="E179" i="37" l="1"/>
  <c r="F178" i="37"/>
  <c r="E180" i="37" l="1"/>
  <c r="F179" i="37"/>
  <c r="E181" i="37" l="1"/>
  <c r="F180" i="37"/>
  <c r="E182" i="37" l="1"/>
  <c r="F181" i="37"/>
  <c r="E183" i="37" l="1"/>
  <c r="F182" i="37"/>
  <c r="E184" i="37" l="1"/>
  <c r="F183" i="37"/>
  <c r="E185" i="37" l="1"/>
  <c r="F184" i="37"/>
  <c r="E186" i="37" l="1"/>
  <c r="F185" i="37"/>
  <c r="E187" i="37" l="1"/>
  <c r="F186" i="37"/>
  <c r="E188" i="37" l="1"/>
  <c r="F187" i="37"/>
  <c r="E189" i="37" l="1"/>
  <c r="F188" i="37"/>
  <c r="E190" i="37" l="1"/>
  <c r="F189" i="37"/>
  <c r="E191" i="37" l="1"/>
  <c r="F190" i="37"/>
  <c r="E192" i="37" l="1"/>
  <c r="F191" i="37"/>
  <c r="E193" i="37" l="1"/>
  <c r="F192" i="37"/>
  <c r="E194" i="37" l="1"/>
  <c r="F193" i="37"/>
  <c r="E195" i="37" l="1"/>
  <c r="F194" i="37"/>
  <c r="E196" i="37" l="1"/>
  <c r="F195" i="37"/>
  <c r="E197" i="37" l="1"/>
  <c r="F196" i="37"/>
  <c r="E198" i="37" l="1"/>
  <c r="F197" i="37"/>
  <c r="E199" i="37" l="1"/>
  <c r="F198" i="37"/>
  <c r="E200" i="37" l="1"/>
  <c r="F199" i="37"/>
  <c r="E201" i="37" l="1"/>
  <c r="F200" i="37"/>
  <c r="E202" i="37" l="1"/>
  <c r="F201" i="37"/>
  <c r="E203" i="37" l="1"/>
  <c r="F202" i="37"/>
  <c r="E204" i="37" l="1"/>
  <c r="F203" i="37"/>
  <c r="E205" i="37" l="1"/>
  <c r="F204" i="37"/>
  <c r="E206" i="37" l="1"/>
  <c r="F205" i="37"/>
  <c r="E207" i="37" l="1"/>
  <c r="F206" i="37"/>
  <c r="E208" i="37" l="1"/>
  <c r="F207" i="37"/>
  <c r="E209" i="37" l="1"/>
  <c r="F208" i="37"/>
  <c r="E210" i="37" l="1"/>
  <c r="F209" i="37"/>
  <c r="E211" i="37" l="1"/>
  <c r="F210" i="37"/>
  <c r="E212" i="37" l="1"/>
  <c r="F211" i="37"/>
  <c r="E213" i="37" l="1"/>
  <c r="F212" i="37"/>
  <c r="F213" i="37" l="1"/>
  <c r="F217" i="37" l="1"/>
  <c r="F218" i="37" l="1"/>
  <c r="F219" i="37" l="1"/>
  <c r="F215" i="37"/>
  <c r="F214" i="37"/>
</calcChain>
</file>

<file path=xl/sharedStrings.xml><?xml version="1.0" encoding="utf-8"?>
<sst xmlns="http://schemas.openxmlformats.org/spreadsheetml/2006/main" count="1059" uniqueCount="489">
  <si>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</si>
  <si>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</si>
  <si>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</si>
  <si>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</si>
  <si>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</si>
  <si>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</si>
  <si>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</si>
  <si>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</si>
  <si>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</si>
  <si>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</si>
  <si>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</si>
  <si>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</si>
  <si>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</si>
  <si>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</si>
  <si>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</si>
  <si>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</si>
  <si>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</si>
  <si>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</si>
  <si>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</si>
  <si>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</si>
  <si>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</si>
  <si>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</si>
  <si>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</si>
  <si>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</si>
  <si>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</si>
  <si>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</si>
  <si>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</si>
  <si>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</si>
  <si>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</si>
  <si>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</si>
  <si>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</si>
  <si>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</si>
  <si>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</si>
  <si>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</si>
  <si>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</si>
  <si>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</si>
  <si>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</si>
  <si>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</si>
  <si>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</si>
  <si>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</si>
  <si>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</si>
  <si>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</si>
  <si>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</si>
  <si>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</si>
  <si>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</si>
  <si>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</si>
  <si>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</si>
  <si>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</si>
  <si>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</si>
  <si>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</si>
  <si>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</si>
  <si>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</si>
  <si>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</si>
  <si>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</si>
  <si>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</si>
  <si>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</si>
  <si>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</si>
  <si>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</si>
  <si>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</si>
  <si>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</si>
  <si>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</si>
  <si>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</si>
  <si>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</si>
  <si>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</si>
  <si>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</si>
  <si>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</si>
  <si>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</si>
  <si>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</si>
  <si>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</si>
  <si>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</si>
  <si>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</si>
  <si>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</si>
  <si>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</si>
  <si>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</si>
  <si>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</si>
  <si>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</si>
  <si>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</si>
  <si>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</si>
  <si>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</si>
  <si>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</si>
  <si>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</si>
  <si>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</si>
  <si>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</si>
  <si>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</si>
  <si>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</si>
  <si>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</si>
  <si>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</si>
  <si>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</si>
  <si>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</si>
  <si>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</si>
  <si>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</si>
  <si>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</si>
  <si>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</si>
  <si>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</si>
  <si>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</si>
  <si>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</si>
  <si>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</si>
  <si>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</si>
  <si>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</si>
  <si>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</si>
  <si>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</si>
  <si>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</si>
  <si>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</si>
  <si>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</si>
  <si>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</si>
  <si>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</si>
  <si>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</si>
  <si>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</si>
  <si>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</si>
  <si>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</si>
  <si>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</si>
  <si>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</si>
  <si>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</si>
  <si>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</si>
  <si>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</si>
  <si>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</si>
  <si>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</si>
  <si>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</si>
  <si>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</si>
  <si>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</si>
  <si>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</si>
  <si>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</si>
  <si>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</si>
  <si>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</si>
  <si>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</si>
  <si>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</si>
  <si>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</si>
  <si>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</si>
  <si>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</si>
  <si>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</si>
  <si>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</si>
  <si>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</si>
  <si>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</si>
  <si>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</si>
  <si>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</si>
  <si>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</si>
  <si>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</si>
  <si>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</si>
  <si>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</si>
  <si>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</si>
  <si>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</si>
  <si>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</si>
  <si>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</si>
  <si>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</si>
  <si>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</si>
  <si>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</si>
  <si>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</si>
  <si>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</si>
  <si>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</si>
  <si>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</si>
  <si>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</si>
  <si>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</si>
  <si>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</si>
  <si>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</si>
  <si>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</si>
  <si>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</si>
  <si>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</si>
  <si>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</si>
  <si>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</si>
  <si>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</si>
  <si>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</si>
  <si>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</si>
  <si>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</si>
  <si>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</si>
  <si>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</si>
  <si>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</si>
  <si>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</si>
  <si>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</si>
  <si>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</si>
  <si>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</si>
  <si>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</si>
  <si>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</si>
  <si>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</si>
  <si>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</si>
  <si>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</si>
  <si>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</si>
  <si>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</si>
  <si>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</si>
  <si>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</si>
  <si>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</si>
  <si>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</si>
  <si>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</si>
  <si>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</si>
  <si>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</si>
  <si>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</si>
  <si>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</si>
  <si>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</si>
  <si>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</si>
  <si>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</si>
  <si>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</si>
  <si>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</si>
  <si>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</si>
  <si>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</si>
  <si>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</si>
  <si>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</si>
  <si>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</si>
  <si>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</si>
  <si>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</si>
  <si>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</si>
  <si>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</si>
  <si>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</si>
  <si>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</si>
  <si>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</si>
  <si>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</si>
  <si>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</si>
  <si>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</si>
  <si>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</si>
  <si>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</si>
  <si>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</si>
  <si>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</si>
  <si>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</si>
  <si>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</si>
  <si>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</si>
  <si>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</si>
  <si>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</si>
  <si>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</si>
  <si>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</si>
  <si>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</si>
  <si>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</si>
  <si>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</si>
  <si>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</si>
  <si>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</si>
  <si>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</si>
  <si>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</si>
  <si>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</si>
  <si>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</si>
  <si>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</si>
  <si>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</si>
  <si>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</si>
  <si>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</si>
  <si>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</si>
  <si>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</si>
  <si>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</si>
  <si>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</si>
  <si>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</si>
  <si>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</si>
  <si>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</si>
  <si>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</si>
  <si>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</si>
  <si>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</si>
  <si>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</si>
  <si>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</si>
  <si>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</si>
  <si>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</si>
  <si>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</si>
  <si>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</si>
  <si>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</si>
  <si>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</si>
  <si>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</si>
  <si>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</si>
  <si>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</si>
  <si>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</si>
  <si>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</si>
  <si>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</si>
  <si>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</si>
  <si>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</si>
  <si>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</si>
  <si>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</si>
  <si>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</si>
  <si>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</si>
  <si>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</si>
  <si>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</si>
  <si>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</si>
  <si>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</si>
  <si>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</si>
  <si>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</si>
  <si>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</si>
  <si>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</si>
  <si>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</si>
  <si>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</si>
  <si>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</si>
  <si>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</si>
  <si>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</si>
  <si>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</si>
  <si>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</si>
  <si>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</si>
  <si>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</si>
  <si>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</si>
  <si>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</si>
  <si>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</si>
  <si>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</si>
  <si>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</si>
  <si>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</si>
  <si>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</si>
  <si>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</si>
  <si>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</si>
  <si>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</si>
  <si>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</si>
  <si>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</si>
  <si>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</si>
  <si>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</si>
  <si>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</si>
  <si>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</si>
  <si>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</si>
  <si>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</si>
  <si>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</si>
  <si>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</si>
  <si>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</si>
  <si>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</si>
  <si>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</si>
  <si>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</si>
  <si>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</si>
  <si>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</si>
  <si>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</si>
  <si>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</si>
  <si>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</si>
  <si>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</si>
  <si>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</si>
  <si>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</si>
  <si>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</si>
  <si>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</si>
  <si>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</si>
  <si>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</si>
  <si>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</si>
  <si>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</si>
  <si>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</si>
  <si>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</si>
  <si>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</si>
  <si>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</si>
  <si>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</si>
  <si>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</si>
  <si>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</si>
  <si>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</si>
  <si>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</si>
  <si>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</si>
  <si>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</si>
  <si>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</si>
  <si>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</si>
  <si>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</si>
  <si>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</si>
  <si>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</si>
  <si>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</si>
  <si>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</si>
  <si>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</si>
  <si>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</si>
  <si>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</si>
  <si>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</si>
  <si>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</si>
  <si>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</si>
  <si>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</si>
  <si>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</si>
  <si>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</si>
  <si>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</si>
  <si>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</si>
  <si>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</si>
  <si>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</si>
  <si>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</si>
  <si>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</si>
  <si>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</si>
  <si>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</si>
  <si>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</si>
  <si>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</si>
  <si>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</si>
  <si>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</si>
  <si>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</si>
  <si>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</si>
  <si>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</si>
  <si>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</si>
  <si>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</si>
  <si>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</si>
  <si>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</si>
  <si>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</si>
  <si>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</si>
  <si>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</si>
  <si>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</si>
  <si>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</si>
  <si>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</si>
  <si>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</si>
  <si>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</si>
  <si>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</si>
  <si>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</si>
  <si>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</si>
  <si>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</si>
  <si>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</si>
  <si>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</si>
  <si>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</si>
  <si>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</si>
  <si>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</si>
  <si>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</si>
  <si>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</si>
  <si>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</si>
  <si>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</si>
  <si>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</si>
  <si>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</si>
  <si>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</si>
  <si>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</si>
  <si>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</si>
  <si>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</si>
  <si>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</si>
  <si>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</si>
  <si>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</si>
  <si>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</si>
  <si>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</si>
  <si>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</si>
  <si>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</si>
  <si>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</si>
  <si>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</si>
  <si>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</si>
  <si>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</si>
  <si>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</si>
  <si>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</si>
  <si>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</si>
  <si>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</si>
  <si>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</si>
  <si>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</si>
  <si>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</si>
  <si>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</si>
  <si>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</si>
  <si>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</si>
  <si>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</si>
  <si>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</si>
  <si>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</si>
  <si>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</si>
  <si>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</si>
  <si>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</si>
  <si>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</si>
  <si>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</si>
  <si>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</si>
  <si>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</si>
  <si>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</si>
  <si>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</si>
  <si>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</si>
  <si>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</si>
  <si>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</si>
  <si>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</si>
  <si>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</si>
  <si>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</si>
  <si>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</si>
  <si>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</si>
  <si>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</si>
  <si>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</si>
  <si>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</si>
  <si>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</si>
  <si>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</si>
  <si>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</si>
  <si>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</si>
  <si>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</si>
  <si>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</si>
  <si>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</si>
  <si>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</si>
  <si>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RUMAH SAKIT</t>
  </si>
  <si>
    <t xml:space="preserve">REKAPITULASI DATA SUSPECT 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</si>
  <si>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</si>
  <si>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</si>
  <si>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</si>
  <si>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</si>
  <si>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</si>
  <si>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</si>
  <si>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</si>
  <si>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</si>
  <si>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</si>
  <si>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TGL MASUK RS</t>
  </si>
  <si>
    <t>TGL KELUAR RS</t>
  </si>
  <si>
    <t>JUMLAH KONTAK</t>
  </si>
  <si>
    <t>TGL UPDATE</t>
  </si>
  <si>
    <t>TGL LAPOR SISTEM</t>
  </si>
  <si>
    <t>SUSPEK</t>
  </si>
  <si>
    <t>REKAPITULASI DATA SUSPEK</t>
  </si>
  <si>
    <t xml:space="preserve">  </t>
  </si>
  <si>
    <t>SUSPEK TOTAL</t>
  </si>
  <si>
    <t>SUSPEK SEHAT</t>
  </si>
  <si>
    <t>SUSPEK DIRAWAT</t>
  </si>
  <si>
    <t>TGL</t>
  </si>
  <si>
    <t>SUSPEK BARU</t>
  </si>
  <si>
    <t>SUSPEK PULANG</t>
  </si>
  <si>
    <t>PROVINSI</t>
  </si>
  <si>
    <t>RT</t>
  </si>
  <si>
    <t>RW</t>
  </si>
  <si>
    <t>PERSON ID</t>
  </si>
  <si>
    <t>KODE SAMPEL</t>
  </si>
  <si>
    <t>HASIL PEMERIKSAAN</t>
  </si>
  <si>
    <t>TANGGAL PEMERIKSAAN</t>
  </si>
  <si>
    <t>no</t>
  </si>
  <si>
    <t>SUSPEK ISOLASI</t>
  </si>
  <si>
    <t>REKAP PASIEN SUSPEK YANG MASIH DALAM PERAWATAN</t>
  </si>
  <si>
    <t>DINAS KESEHATAN KAB. DEMAK TH 2022</t>
  </si>
  <si>
    <t>JAWA TENGAH</t>
  </si>
  <si>
    <t>Suspek Dirawat</t>
  </si>
  <si>
    <t>MARYUNI</t>
  </si>
  <si>
    <t>JL PUCANG KARYA XVI NO 13 RT 009 RW 015</t>
  </si>
  <si>
    <t>0813-2502-0678</t>
  </si>
  <si>
    <t>Mengurus Rumah Tangga</t>
  </si>
  <si>
    <t>- TIDAK TAHU</t>
  </si>
  <si>
    <t>Demam, pusing, muntah</t>
  </si>
  <si>
    <t>Sesak Napas,Mual,Lemas,Pilek,Batuk,Demam</t>
  </si>
  <si>
    <t>RS Umum Pelita Anugerah</t>
  </si>
  <si>
    <t>3321014803680008</t>
  </si>
  <si>
    <t>10 MEI 2022</t>
  </si>
  <si>
    <t>TANGGAL : 10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</si>
</sst>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[$-F800]dddd\,\ mmmm\ dd\,\ yyyy"/>
    <numFmt numFmtId="166" formatCode="s\t\r"/>
    <numFmt numFmtId="167" formatCode="d/m/yy\ h:m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6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  <xf numFmtId="0" fontId="18" fillId="0" borderId="0"/>
    <xf numFmtId="0" fontId="19" fillId="0" borderId="0"/>
  </cellStyleXfs>
  <cellXfs count="143">
    <xf numFmtId="0" fontId="0" fillId="0" borderId="0" xfId="0"/>
    <xf numFmtId="0" fontId="9" fillId="0" borderId="0" xfId="0" applyFont="1" applyAlignment="1"/>
    <xf numFmtId="0" fontId="0" fillId="0" borderId="6" xfId="0" applyBorder="1" applyAlignment="1">
      <alignment horizontal="left" vertical="justify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Continuous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9" fillId="0" borderId="0" xfId="0" applyFont="1" applyFill="1" applyAlignment="1">
      <alignment horizontal="centerContinuous" vertic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15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5" xfId="0" applyFill="1" applyBorder="1"/>
    <xf numFmtId="0" fontId="0" fillId="0" borderId="7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49" fontId="0" fillId="0" borderId="8" xfId="0" applyNumberFormat="1" applyBorder="1" applyAlignment="1"/>
    <xf numFmtId="0" fontId="0" fillId="0" borderId="6" xfId="0" applyFill="1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Fill="1" applyBorder="1"/>
    <xf numFmtId="0" fontId="10" fillId="2" borderId="5" xfId="0" applyFont="1" applyFill="1" applyBorder="1"/>
    <xf numFmtId="0" fontId="0" fillId="0" borderId="5" xfId="0" applyFill="1" applyBorder="1" applyAlignment="1">
      <alignment horizontal="center" vertical="justify" wrapText="1"/>
    </xf>
    <xf numFmtId="0" fontId="0" fillId="0" borderId="5" xfId="0" applyFill="1" applyBorder="1" applyAlignment="1">
      <alignment horizontal="left" vertical="justify" wrapText="1"/>
    </xf>
    <xf numFmtId="0" fontId="0" fillId="2" borderId="5" xfId="0" applyFill="1" applyBorder="1"/>
    <xf numFmtId="16" fontId="0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4" fillId="0" borderId="0" xfId="7"/>
    <xf numFmtId="0" fontId="11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166" fontId="0" fillId="0" borderId="0" xfId="0" applyNumberFormat="1"/>
    <xf numFmtId="0" fontId="16" fillId="0" borderId="0" xfId="0" applyFont="1" applyFill="1" applyAlignment="1">
      <alignment horizontal="center" vertical="center"/>
    </xf>
    <xf numFmtId="167" fontId="0" fillId="0" borderId="0" xfId="0" applyNumberFormat="1"/>
    <xf numFmtId="14" fontId="0" fillId="0" borderId="0" xfId="0" applyNumberFormat="1"/>
    <xf numFmtId="1" fontId="14" fillId="0" borderId="0" xfId="7" applyNumberFormat="1"/>
    <xf numFmtId="1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5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166" fontId="0" fillId="0" borderId="5" xfId="0" applyNumberFormat="1" applyBorder="1"/>
    <xf numFmtId="14" fontId="0" fillId="0" borderId="5" xfId="0" applyNumberFormat="1" applyBorder="1"/>
    <xf numFmtId="167" fontId="0" fillId="0" borderId="5" xfId="0" applyNumberFormat="1" applyBorder="1"/>
    <xf numFmtId="0" fontId="0" fillId="0" borderId="0" xfId="0" pivotButton="1"/>
    <xf numFmtId="0" fontId="0" fillId="0" borderId="17" xfId="0" applyBorder="1"/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0" xfId="0" pivotButton="1" applyBorder="1"/>
    <xf numFmtId="0" fontId="0" fillId="0" borderId="22" xfId="0" applyBorder="1"/>
    <xf numFmtId="0" fontId="0" fillId="0" borderId="23" xfId="0" applyBorder="1"/>
    <xf numFmtId="0" fontId="0" fillId="0" borderId="22" xfId="0" applyBorder="1" applyAlignment="1">
      <alignment horizontal="left"/>
    </xf>
    <xf numFmtId="0" fontId="0" fillId="0" borderId="23" xfId="0" applyNumberFormat="1" applyBorder="1"/>
    <xf numFmtId="0" fontId="0" fillId="0" borderId="24" xfId="0" applyBorder="1" applyAlignment="1">
      <alignment horizontal="left"/>
    </xf>
    <xf numFmtId="0" fontId="0" fillId="0" borderId="25" xfId="0" applyNumberFormat="1" applyBorder="1"/>
    <xf numFmtId="0" fontId="10" fillId="0" borderId="0" xfId="7" applyFont="1"/>
    <xf numFmtId="0" fontId="0" fillId="0" borderId="26" xfId="0" applyBorder="1" applyAlignment="1">
      <alignment horizontal="left"/>
    </xf>
    <xf numFmtId="0" fontId="0" fillId="0" borderId="27" xfId="0" applyNumberFormat="1" applyBorder="1"/>
    <xf numFmtId="0" fontId="18" fillId="0" borderId="22" xfId="14" applyBorder="1"/>
    <xf numFmtId="0" fontId="18" fillId="0" borderId="23" xfId="14" applyBorder="1"/>
    <xf numFmtId="0" fontId="0" fillId="0" borderId="19" xfId="0" pivotButton="1" applyBorder="1"/>
    <xf numFmtId="166" fontId="0" fillId="0" borderId="0" xfId="0" quotePrefix="1" applyNumberForma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165" fontId="0" fillId="5" borderId="8" xfId="0" applyNumberFormat="1" applyFill="1" applyBorder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4" fontId="0" fillId="0" borderId="5" xfId="0" applyNumberFormat="1" applyBorder="1"/>
  </cellXfs>
  <cellStyles count="16">
    <cellStyle name="Comma [0] 2" xfId="6"/>
    <cellStyle name="Normal" xfId="0" builtinId="0"/>
    <cellStyle name="Normal 10" xfId="8"/>
    <cellStyle name="Normal 11" xfId="15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Normal 9" xfId="14"/>
    <cellStyle name="Percent 2" xfId="13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zoomScale="80" zoomScaleNormal="80" workbookViewId="0">
      <selection activeCell="A3" sqref="A3"/>
    </sheetView>
  </sheetViews>
  <sheetFormatPr defaultColWidth="9.140625" defaultRowHeight="12.75" x14ac:dyDescent="0.2"/>
  <cols>
    <col min="1" max="1" width="7.28515625" style="85" customWidth="1"/>
    <col min="2" max="2" width="26" style="75" customWidth="1"/>
    <col min="3" max="4" width="14.42578125" style="75" customWidth="1"/>
    <col min="5" max="5" width="19.140625" style="75" customWidth="1"/>
    <col min="6" max="6" width="31.7109375" style="75" customWidth="1"/>
    <col min="7" max="7" width="29.42578125" style="75" customWidth="1"/>
    <col min="8" max="8" width="7.7109375" style="75" customWidth="1"/>
    <col min="9" max="9" width="20.42578125" style="75" customWidth="1"/>
    <col min="10" max="10" width="21.140625" style="75" customWidth="1"/>
    <col min="11" max="11" width="20" style="75" customWidth="1"/>
    <col min="12" max="12" width="13.140625" style="75" customWidth="1"/>
    <col min="13" max="13" width="12" style="75" customWidth="1"/>
    <col min="14" max="14" width="17.42578125" style="75" customWidth="1"/>
    <col min="15" max="15" width="38.85546875" style="75" customWidth="1"/>
    <col min="16" max="16" width="23.42578125" style="75" customWidth="1"/>
    <col min="17" max="17" width="22.85546875" style="75" customWidth="1"/>
    <col min="18" max="18" width="15.42578125" style="75" customWidth="1"/>
    <col min="19" max="19" width="36.85546875" style="75" customWidth="1"/>
    <col min="20" max="20" width="14.140625" style="75" customWidth="1"/>
    <col min="21" max="21" width="35.42578125" style="75" customWidth="1"/>
    <col min="22" max="22" width="18.7109375" style="75" customWidth="1"/>
    <col min="23" max="23" width="9.140625" style="75"/>
    <col min="24" max="24" width="18.7109375" style="75" customWidth="1"/>
    <col min="25" max="25" width="22.28515625" style="75" customWidth="1"/>
    <col min="26" max="26" width="29.140625" style="75" customWidth="1"/>
    <col min="27" max="27" width="27.28515625" style="75" customWidth="1"/>
    <col min="28" max="28" width="14.7109375" style="75" customWidth="1"/>
    <col min="29" max="29" width="19.42578125" style="75" customWidth="1"/>
    <col min="30" max="30" width="24.28515625" style="75" customWidth="1"/>
    <col min="31" max="31" width="16.42578125" style="75" customWidth="1"/>
    <col min="32" max="16384" width="9.140625" style="75"/>
  </cols>
  <sheetData>
    <row r="1" spans="1:31" customFormat="1" ht="15" x14ac:dyDescent="0.25">
      <c r="A1" s="86" t="s">
        <v>472</v>
      </c>
      <c r="B1" t="s">
        <v>431</v>
      </c>
      <c r="C1" t="s">
        <v>465</v>
      </c>
      <c r="D1" t="s">
        <v>432</v>
      </c>
      <c r="E1" t="s">
        <v>2</v>
      </c>
      <c r="F1" t="s">
        <v>433</v>
      </c>
      <c r="G1" t="s">
        <v>466</v>
      </c>
      <c r="H1" t="s">
        <v>467</v>
      </c>
      <c r="I1" t="s">
        <v>434</v>
      </c>
      <c r="J1" t="s">
        <v>435</v>
      </c>
      <c r="K1" t="s">
        <v>436</v>
      </c>
      <c r="L1" t="s">
        <v>437</v>
      </c>
      <c r="M1" t="s">
        <v>443</v>
      </c>
      <c r="N1" t="s">
        <v>444</v>
      </c>
      <c r="O1" t="s">
        <v>445</v>
      </c>
      <c r="P1" t="s">
        <v>446</v>
      </c>
      <c r="Q1" t="s">
        <v>447</v>
      </c>
      <c r="R1" t="s">
        <v>448</v>
      </c>
      <c r="S1" t="s">
        <v>449</v>
      </c>
      <c r="T1" s="84" t="s">
        <v>450</v>
      </c>
      <c r="U1" t="s">
        <v>440</v>
      </c>
      <c r="V1" s="84" t="s">
        <v>451</v>
      </c>
      <c r="W1" s="84" t="s">
        <v>452</v>
      </c>
      <c r="X1" t="s">
        <v>438</v>
      </c>
      <c r="Y1" t="s">
        <v>469</v>
      </c>
      <c r="Z1" t="s">
        <v>470</v>
      </c>
      <c r="AA1" s="84" t="s">
        <v>471</v>
      </c>
      <c r="AB1" t="s">
        <v>453</v>
      </c>
      <c r="AC1" s="83" t="s">
        <v>454</v>
      </c>
      <c r="AD1" s="83" t="s">
        <v>455</v>
      </c>
      <c r="AE1" s="114" t="s">
        <v>442</v>
      </c>
    </row>
    <row r="2" spans="1:31" ht="15" x14ac:dyDescent="0.25">
      <c r="A2" s="85">
        <v>1</v>
      </c>
      <c r="B2" t="s">
        <v>478</v>
      </c>
      <c r="C2" t="s">
        <v>476</v>
      </c>
      <c r="D2" t="s">
        <v>283</v>
      </c>
      <c r="E2" t="s">
        <v>309</v>
      </c>
      <c r="F2" t="s">
        <v>346</v>
      </c>
      <c r="G2">
        <v>9</v>
      </c>
      <c r="H2">
        <v>15</v>
      </c>
      <c r="I2" t="s">
        <v>479</v>
      </c>
      <c r="J2">
        <v>53</v>
      </c>
      <c r="K2" t="s">
        <v>307</v>
      </c>
      <c r="L2" t="s">
        <v>480</v>
      </c>
      <c r="M2" t="s">
        <v>481</v>
      </c>
      <c r="N2" t="s">
        <v>482</v>
      </c>
      <c r="O2" t="s">
        <v>483</v>
      </c>
      <c r="P2"/>
      <c r="Q2"/>
      <c r="R2"/>
      <c r="S2" t="s">
        <v>484</v>
      </c>
      <c r="T2" s="84"/>
      <c r="U2" t="s">
        <v>485</v>
      </c>
      <c r="V2" s="84">
        <v>44288</v>
      </c>
      <c r="W2" s="84"/>
      <c r="X2" t="s">
        <v>477</v>
      </c>
      <c r="Y2"/>
      <c r="Z2"/>
      <c r="AA2" s="84"/>
      <c r="AB2">
        <v>5</v>
      </c>
      <c r="AC2" s="83">
        <v>44688.396423610997</v>
      </c>
      <c r="AD2" s="83">
        <v>44289.381631944001</v>
      </c>
      <c r="AE2" s="120" t="s">
        <v>486</v>
      </c>
    </row>
  </sheetData>
  <autoFilter ref="A1:AB1"/>
  <sortState ref="A2:AE51">
    <sortCondition ref="A2:A51"/>
  </sortState>
  <conditionalFormatting sqref="B3:B1048576 B1">
    <cfRule type="duplicateValues" dxfId="14" priority="894"/>
  </conditionalFormatting>
  <conditionalFormatting sqref="B3:B1048576">
    <cfRule type="duplicateValues" dxfId="13" priority="89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zoomScale="80" zoomScaleNormal="80" workbookViewId="0">
      <pane xSplit="3" ySplit="7" topLeftCell="D8" activePane="bottomRight" state="frozen"/>
      <selection pane="topRight" activeCell="E1" sqref="E1"/>
      <selection pane="bottomLeft" activeCell="A8" sqref="A8"/>
      <selection pane="bottomRight" activeCell="Q25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14" customWidth="1"/>
    <col min="4" max="4" width="22" style="1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26" hidden="1" customWidth="1"/>
    <col min="16" max="16" width="6.7109375" hidden="1" customWidth="1"/>
    <col min="17" max="17" width="17.42578125" customWidth="1"/>
  </cols>
  <sheetData>
    <row r="1" spans="1:17" x14ac:dyDescent="0.25">
      <c r="A1" s="15" t="s">
        <v>457</v>
      </c>
      <c r="B1" s="15"/>
      <c r="C1" s="19"/>
      <c r="D1" s="19"/>
    </row>
    <row r="2" spans="1:17" x14ac:dyDescent="0.25">
      <c r="A2" s="1"/>
      <c r="B2" s="1"/>
      <c r="C2" s="11"/>
      <c r="D2" s="11"/>
    </row>
    <row r="3" spans="1:17" x14ac:dyDescent="0.25">
      <c r="A3" s="1"/>
      <c r="B3" s="1"/>
      <c r="C3" s="11"/>
      <c r="D3" s="11"/>
    </row>
    <row r="4" spans="1:17" x14ac:dyDescent="0.25">
      <c r="A4" s="20" t="s">
        <v>298</v>
      </c>
      <c r="B4" s="59" t="s">
        <v>487</v>
      </c>
      <c r="C4" s="12"/>
      <c r="D4" s="12"/>
    </row>
    <row r="5" spans="1:17" ht="60" customHeight="1" x14ac:dyDescent="0.25">
      <c r="A5" s="132" t="s">
        <v>1</v>
      </c>
      <c r="B5" s="132" t="s">
        <v>2</v>
      </c>
      <c r="C5" s="134" t="s">
        <v>3</v>
      </c>
      <c r="D5" s="136" t="s">
        <v>456</v>
      </c>
      <c r="E5" s="127" t="s">
        <v>272</v>
      </c>
      <c r="F5" s="127" t="s">
        <v>273</v>
      </c>
      <c r="G5" s="128" t="s">
        <v>300</v>
      </c>
      <c r="H5" s="131" t="s">
        <v>299</v>
      </c>
      <c r="I5" s="131" t="s">
        <v>297</v>
      </c>
      <c r="J5" s="127" t="s">
        <v>296</v>
      </c>
      <c r="K5" s="128" t="s">
        <v>303</v>
      </c>
      <c r="L5" s="128" t="s">
        <v>304</v>
      </c>
      <c r="M5" s="127" t="s">
        <v>302</v>
      </c>
      <c r="Q5" s="121" t="s">
        <v>439</v>
      </c>
    </row>
    <row r="6" spans="1:17" ht="15" customHeight="1" x14ac:dyDescent="0.25">
      <c r="A6" s="133"/>
      <c r="B6" s="133"/>
      <c r="C6" s="135"/>
      <c r="D6" s="137"/>
      <c r="E6" s="127"/>
      <c r="F6" s="127"/>
      <c r="G6" s="129"/>
      <c r="H6" s="131"/>
      <c r="I6" s="131"/>
      <c r="J6" s="127"/>
      <c r="K6" s="129"/>
      <c r="L6" s="129"/>
      <c r="M6" s="127"/>
      <c r="Q6" s="122"/>
    </row>
    <row r="7" spans="1:17" ht="15.75" customHeight="1" x14ac:dyDescent="0.25">
      <c r="A7" s="133"/>
      <c r="B7" s="133"/>
      <c r="C7" s="135"/>
      <c r="D7" s="137"/>
      <c r="E7" s="127"/>
      <c r="F7" s="127"/>
      <c r="G7" s="130"/>
      <c r="H7" s="131"/>
      <c r="I7" s="131"/>
      <c r="J7" s="127"/>
      <c r="K7" s="130"/>
      <c r="L7" s="130"/>
      <c r="M7" s="127"/>
      <c r="Q7" s="123"/>
    </row>
    <row r="8" spans="1:17" x14ac:dyDescent="0.25">
      <c r="A8" s="61">
        <v>1</v>
      </c>
      <c r="B8" s="62" t="s">
        <v>4</v>
      </c>
      <c r="C8" s="43" t="s">
        <v>394</v>
      </c>
      <c r="D8" s="76">
        <f>COUNTIFS('TOTAL SUSPEK'!$F:$F,"kembangarum")</f>
        <v>0</v>
      </c>
      <c r="E8" s="21" t="e">
        <f>SUM(#REF!)</f>
        <v>#REF!</v>
      </c>
      <c r="F8" s="21" t="e">
        <f>SUM(#REF!)</f>
        <v>#REF!</v>
      </c>
      <c r="G8" s="21" t="e">
        <f>SUM(#REF!)</f>
        <v>#REF!</v>
      </c>
      <c r="H8" s="21" t="e">
        <f>SUM(#REF!)</f>
        <v>#REF!</v>
      </c>
      <c r="I8" s="21" t="e">
        <f>SUM(#REF!)</f>
        <v>#REF!</v>
      </c>
      <c r="J8" s="21" t="e">
        <f>SUM(#REF!)</f>
        <v>#REF!</v>
      </c>
      <c r="K8" s="21" t="e">
        <f>SUM(#REF!)</f>
        <v>#REF!</v>
      </c>
      <c r="L8" s="21">
        <f>SUM(D8:D26)</f>
        <v>1</v>
      </c>
      <c r="M8" s="21" t="e">
        <f>SUM(#REF!)</f>
        <v>#REF!</v>
      </c>
      <c r="P8" s="42">
        <f t="shared" ref="P8:P71" si="0">SUM(D8:D8)</f>
        <v>0</v>
      </c>
      <c r="Q8" s="142">
        <f>SUM(P8:P26)</f>
        <v>1</v>
      </c>
    </row>
    <row r="9" spans="1:17" x14ac:dyDescent="0.25">
      <c r="A9" s="61"/>
      <c r="B9" s="62" t="s">
        <v>4</v>
      </c>
      <c r="C9" s="43" t="s">
        <v>4</v>
      </c>
      <c r="D9" s="76">
        <f>COUNTIFS('TOTAL SUSPEK'!$F:$F,"mranggen")</f>
        <v>0</v>
      </c>
      <c r="E9" s="22"/>
      <c r="F9" s="23"/>
      <c r="G9" s="23"/>
      <c r="H9" s="23"/>
      <c r="I9" s="23"/>
      <c r="J9" s="23"/>
      <c r="K9" s="24"/>
      <c r="L9" s="24"/>
      <c r="M9" s="24"/>
      <c r="P9" s="42">
        <f t="shared" si="0"/>
        <v>0</v>
      </c>
      <c r="Q9" s="8"/>
    </row>
    <row r="10" spans="1:17" x14ac:dyDescent="0.25">
      <c r="A10" s="61"/>
      <c r="B10" s="62" t="s">
        <v>4</v>
      </c>
      <c r="C10" s="43" t="s">
        <v>5</v>
      </c>
      <c r="D10" s="76">
        <f>COUNTIFS('TOTAL SUSPEK'!$F:$F,"kangkung")</f>
        <v>0</v>
      </c>
      <c r="E10" s="22"/>
      <c r="F10" s="23"/>
      <c r="G10" s="23"/>
      <c r="H10" s="23"/>
      <c r="I10" s="23"/>
      <c r="J10" s="23"/>
      <c r="K10" s="24"/>
      <c r="L10" s="24"/>
      <c r="M10" s="24"/>
      <c r="P10" s="42">
        <f t="shared" si="0"/>
        <v>0</v>
      </c>
      <c r="Q10" s="8"/>
    </row>
    <row r="11" spans="1:17" x14ac:dyDescent="0.25">
      <c r="A11" s="61"/>
      <c r="B11" s="62" t="s">
        <v>4</v>
      </c>
      <c r="C11" s="43" t="s">
        <v>6</v>
      </c>
      <c r="D11" s="76">
        <f>COUNTIFS('TOTAL SUSPEK'!$F:$F,"Kalitengah")</f>
        <v>0</v>
      </c>
      <c r="E11" s="22"/>
      <c r="F11" s="23"/>
      <c r="G11" s="23"/>
      <c r="H11" s="23"/>
      <c r="I11" s="23"/>
      <c r="J11" s="23"/>
      <c r="K11" s="24"/>
      <c r="L11" s="24"/>
      <c r="M11" s="24"/>
      <c r="P11" s="42">
        <f t="shared" si="0"/>
        <v>0</v>
      </c>
      <c r="Q11" s="8"/>
    </row>
    <row r="12" spans="1:17" x14ac:dyDescent="0.25">
      <c r="A12" s="61"/>
      <c r="B12" s="62" t="s">
        <v>4</v>
      </c>
      <c r="C12" s="43" t="s">
        <v>7</v>
      </c>
      <c r="D12" s="76">
        <f>COUNTIFS('TOTAL SUSPEK'!$F:$F,"brumbung")</f>
        <v>0</v>
      </c>
      <c r="E12" s="22"/>
      <c r="F12" s="23"/>
      <c r="G12" s="23"/>
      <c r="H12" s="23"/>
      <c r="I12" s="23"/>
      <c r="J12" s="23"/>
      <c r="K12" s="24"/>
      <c r="L12" s="24"/>
      <c r="M12" s="24"/>
      <c r="P12" s="42">
        <f t="shared" si="0"/>
        <v>0</v>
      </c>
      <c r="Q12" s="8"/>
    </row>
    <row r="13" spans="1:17" x14ac:dyDescent="0.25">
      <c r="A13" s="61"/>
      <c r="B13" s="62" t="s">
        <v>4</v>
      </c>
      <c r="C13" s="43" t="s">
        <v>8</v>
      </c>
      <c r="D13" s="76">
        <f>COUNTIFS('TOTAL SUSPEK'!$F:$F,"Sumberejo",'TOTAL SUSPEK'!$E:$E,"mranggen")</f>
        <v>0</v>
      </c>
      <c r="E13" s="22"/>
      <c r="F13" s="23"/>
      <c r="G13" s="23"/>
      <c r="H13" s="23"/>
      <c r="I13" s="23"/>
      <c r="J13" s="23"/>
      <c r="K13" s="24"/>
      <c r="L13" s="24"/>
      <c r="M13" s="24"/>
      <c r="P13" s="42">
        <f t="shared" si="0"/>
        <v>0</v>
      </c>
      <c r="Q13" s="8"/>
    </row>
    <row r="14" spans="1:17" x14ac:dyDescent="0.25">
      <c r="A14" s="61"/>
      <c r="B14" s="62" t="s">
        <v>4</v>
      </c>
      <c r="C14" s="43" t="s">
        <v>9</v>
      </c>
      <c r="D14" s="76">
        <f>COUNTIFS('TOTAL SUSPEK'!$F:$F,"Bandungrejo",'TOTAL SUSPEK'!$E:$E,"mranggen")</f>
        <v>0</v>
      </c>
      <c r="E14" s="22"/>
      <c r="F14" s="23"/>
      <c r="G14" s="23"/>
      <c r="H14" s="23"/>
      <c r="I14" s="23"/>
      <c r="J14" s="23"/>
      <c r="K14" s="24"/>
      <c r="L14" s="24"/>
      <c r="M14" s="24"/>
      <c r="P14" s="42">
        <f t="shared" si="0"/>
        <v>0</v>
      </c>
      <c r="Q14" s="8"/>
    </row>
    <row r="15" spans="1:17" x14ac:dyDescent="0.25">
      <c r="A15" s="61"/>
      <c r="B15" s="62" t="s">
        <v>4</v>
      </c>
      <c r="C15" s="43" t="s">
        <v>10</v>
      </c>
      <c r="D15" s="76">
        <f>COUNTIFS('TOTAL SUSPEK'!$F:$F,"menur")</f>
        <v>0</v>
      </c>
      <c r="E15" s="22"/>
      <c r="F15" s="23"/>
      <c r="G15" s="23"/>
      <c r="H15" s="23"/>
      <c r="I15" s="23"/>
      <c r="J15" s="23"/>
      <c r="K15" s="24"/>
      <c r="L15" s="24"/>
      <c r="M15" s="24"/>
      <c r="P15" s="42">
        <f t="shared" si="0"/>
        <v>0</v>
      </c>
      <c r="Q15" s="8"/>
    </row>
    <row r="16" spans="1:17" x14ac:dyDescent="0.25">
      <c r="A16" s="61"/>
      <c r="B16" s="62" t="s">
        <v>4</v>
      </c>
      <c r="C16" s="43" t="s">
        <v>11</v>
      </c>
      <c r="D16" s="76">
        <f>COUNTIFS('TOTAL SUSPEK'!$F:$F,"wringinjajar")</f>
        <v>0</v>
      </c>
      <c r="E16" s="22"/>
      <c r="F16" s="23"/>
      <c r="G16" s="23"/>
      <c r="H16" s="23"/>
      <c r="I16" s="23"/>
      <c r="J16" s="23"/>
      <c r="K16" s="24"/>
      <c r="L16" s="24"/>
      <c r="M16" s="24"/>
      <c r="P16" s="42">
        <f t="shared" si="0"/>
        <v>0</v>
      </c>
      <c r="Q16" s="8"/>
    </row>
    <row r="17" spans="1:17" x14ac:dyDescent="0.25">
      <c r="A17" s="61"/>
      <c r="B17" s="62" t="s">
        <v>4</v>
      </c>
      <c r="C17" s="43" t="s">
        <v>12</v>
      </c>
      <c r="D17" s="76">
        <f>COUNTIFS('TOTAL SUSPEK'!$F:$F,"candisari")</f>
        <v>0</v>
      </c>
      <c r="E17" s="22"/>
      <c r="F17" s="23"/>
      <c r="G17" s="23"/>
      <c r="H17" s="23"/>
      <c r="I17" s="23"/>
      <c r="J17" s="23"/>
      <c r="K17" s="24"/>
      <c r="L17" s="24"/>
      <c r="M17" s="24"/>
      <c r="P17" s="42">
        <f t="shared" si="0"/>
        <v>0</v>
      </c>
      <c r="Q17" s="8"/>
    </row>
    <row r="18" spans="1:17" x14ac:dyDescent="0.25">
      <c r="A18" s="61"/>
      <c r="B18" s="62" t="s">
        <v>4</v>
      </c>
      <c r="C18" s="43" t="s">
        <v>13</v>
      </c>
      <c r="D18" s="76">
        <f>COUNTIFS('TOTAL SUSPEK'!$F:$F,"ngemplak")</f>
        <v>0</v>
      </c>
      <c r="E18" s="22"/>
      <c r="F18" s="23"/>
      <c r="G18" s="23"/>
      <c r="H18" s="23"/>
      <c r="I18" s="23"/>
      <c r="J18" s="23"/>
      <c r="K18" s="24"/>
      <c r="L18" s="24"/>
      <c r="M18" s="24"/>
      <c r="P18" s="42">
        <f t="shared" si="0"/>
        <v>0</v>
      </c>
      <c r="Q18" s="8"/>
    </row>
    <row r="19" spans="1:17" x14ac:dyDescent="0.25">
      <c r="A19" s="61"/>
      <c r="B19" s="62" t="s">
        <v>4</v>
      </c>
      <c r="C19" s="43" t="s">
        <v>14</v>
      </c>
      <c r="D19" s="76">
        <f>COUNTIFS('TOTAL SUSPEK'!$F:$F,"karangsono")</f>
        <v>0</v>
      </c>
      <c r="E19" s="22"/>
      <c r="F19" s="23"/>
      <c r="G19" s="23"/>
      <c r="H19" s="23"/>
      <c r="I19" s="23"/>
      <c r="J19" s="23"/>
      <c r="K19" s="24"/>
      <c r="L19" s="24"/>
      <c r="M19" s="24"/>
      <c r="P19" s="42">
        <f t="shared" si="0"/>
        <v>0</v>
      </c>
      <c r="Q19" s="8"/>
    </row>
    <row r="20" spans="1:17" x14ac:dyDescent="0.25">
      <c r="A20" s="61"/>
      <c r="B20" s="62" t="s">
        <v>4</v>
      </c>
      <c r="C20" s="43" t="s">
        <v>15</v>
      </c>
      <c r="D20" s="76">
        <f>COUNTIFS('TOTAL SUSPEK'!$F:$F,"jamus")</f>
        <v>0</v>
      </c>
      <c r="E20" s="22"/>
      <c r="F20" s="23"/>
      <c r="G20" s="23"/>
      <c r="H20" s="23"/>
      <c r="I20" s="23"/>
      <c r="J20" s="23"/>
      <c r="K20" s="24"/>
      <c r="L20" s="24"/>
      <c r="M20" s="24"/>
      <c r="P20" s="42">
        <f t="shared" si="0"/>
        <v>0</v>
      </c>
      <c r="Q20" s="8"/>
    </row>
    <row r="21" spans="1:17" x14ac:dyDescent="0.25">
      <c r="A21" s="61"/>
      <c r="B21" s="62" t="s">
        <v>4</v>
      </c>
      <c r="C21" s="43" t="s">
        <v>16</v>
      </c>
      <c r="D21" s="76">
        <f>COUNTIFS('TOTAL SUSPEK'!$F:$F,"waru")</f>
        <v>0</v>
      </c>
      <c r="E21" s="22"/>
      <c r="F21" s="23"/>
      <c r="G21" s="23"/>
      <c r="H21" s="23"/>
      <c r="I21" s="23"/>
      <c r="J21" s="23"/>
      <c r="K21" s="24"/>
      <c r="L21" s="24"/>
      <c r="M21" s="24"/>
      <c r="P21" s="42">
        <f t="shared" si="0"/>
        <v>0</v>
      </c>
      <c r="Q21" s="8"/>
    </row>
    <row r="22" spans="1:17" x14ac:dyDescent="0.25">
      <c r="A22" s="61"/>
      <c r="B22" s="62" t="s">
        <v>4</v>
      </c>
      <c r="C22" s="43" t="s">
        <v>17</v>
      </c>
      <c r="D22" s="76">
        <f>COUNTIFS('TOTAL SUSPEK'!$F:$F,"tegalarum")</f>
        <v>0</v>
      </c>
      <c r="E22" s="22"/>
      <c r="F22" s="23"/>
      <c r="G22" s="23"/>
      <c r="H22" s="23"/>
      <c r="I22" s="23"/>
      <c r="J22" s="23"/>
      <c r="K22" s="24"/>
      <c r="L22" s="24"/>
      <c r="M22" s="24"/>
      <c r="P22" s="42">
        <f t="shared" si="0"/>
        <v>0</v>
      </c>
      <c r="Q22" s="8"/>
    </row>
    <row r="23" spans="1:17" x14ac:dyDescent="0.25">
      <c r="A23" s="61"/>
      <c r="B23" s="62" t="s">
        <v>4</v>
      </c>
      <c r="C23" s="43" t="s">
        <v>18</v>
      </c>
      <c r="D23" s="76">
        <f>COUNTIFS('TOTAL SUSPEK'!$F:$F,"tamansari")</f>
        <v>0</v>
      </c>
      <c r="E23" s="22"/>
      <c r="F23" s="23"/>
      <c r="G23" s="23"/>
      <c r="H23" s="23"/>
      <c r="I23" s="23"/>
      <c r="J23" s="23"/>
      <c r="K23" s="24"/>
      <c r="L23" s="24"/>
      <c r="M23" s="24"/>
      <c r="P23" s="42">
        <f t="shared" si="0"/>
        <v>0</v>
      </c>
      <c r="Q23" s="8"/>
    </row>
    <row r="24" spans="1:17" x14ac:dyDescent="0.25">
      <c r="A24" s="61"/>
      <c r="B24" s="62" t="s">
        <v>4</v>
      </c>
      <c r="C24" s="43" t="s">
        <v>19</v>
      </c>
      <c r="D24" s="76">
        <f>COUNTIFS('TOTAL SUSPEK'!$F:$F,"banyumeneng")</f>
        <v>0</v>
      </c>
      <c r="E24" s="22"/>
      <c r="F24" s="23"/>
      <c r="G24" s="23"/>
      <c r="H24" s="23"/>
      <c r="I24" s="23"/>
      <c r="J24" s="23"/>
      <c r="K24" s="24"/>
      <c r="L24" s="24"/>
      <c r="M24" s="24"/>
      <c r="P24" s="42">
        <f t="shared" si="0"/>
        <v>0</v>
      </c>
      <c r="Q24" s="8"/>
    </row>
    <row r="25" spans="1:17" x14ac:dyDescent="0.25">
      <c r="A25" s="61"/>
      <c r="B25" s="62" t="s">
        <v>4</v>
      </c>
      <c r="C25" s="43" t="s">
        <v>20</v>
      </c>
      <c r="D25" s="76">
        <f>COUNTIFS('TOTAL SUSPEK'!$F:$F,"kebonbatur")</f>
        <v>0</v>
      </c>
      <c r="E25" s="22"/>
      <c r="F25" s="23"/>
      <c r="G25" s="23"/>
      <c r="H25" s="23"/>
      <c r="I25" s="23"/>
      <c r="J25" s="23"/>
      <c r="K25" s="24"/>
      <c r="L25" s="24"/>
      <c r="M25" s="24"/>
      <c r="P25" s="42">
        <f t="shared" si="0"/>
        <v>0</v>
      </c>
      <c r="Q25" s="8"/>
    </row>
    <row r="26" spans="1:17" x14ac:dyDescent="0.25">
      <c r="A26" s="61"/>
      <c r="B26" s="62" t="s">
        <v>4</v>
      </c>
      <c r="C26" s="43" t="s">
        <v>21</v>
      </c>
      <c r="D26" s="76">
        <f>COUNTIFS('TOTAL SUSPEK'!$F:$F,"batursari")</f>
        <v>1</v>
      </c>
      <c r="E26" s="22"/>
      <c r="F26" s="23"/>
      <c r="G26" s="23"/>
      <c r="H26" s="23"/>
      <c r="I26" s="23"/>
      <c r="J26" s="23"/>
      <c r="K26" s="24"/>
      <c r="L26" s="24"/>
      <c r="M26" s="24"/>
      <c r="P26" s="42">
        <f t="shared" si="0"/>
        <v>1</v>
      </c>
      <c r="Q26" s="8"/>
    </row>
    <row r="27" spans="1:17" ht="15" customHeight="1" x14ac:dyDescent="0.25">
      <c r="A27" s="61">
        <v>2</v>
      </c>
      <c r="B27" s="62" t="s">
        <v>22</v>
      </c>
      <c r="C27" s="43" t="s">
        <v>23</v>
      </c>
      <c r="D27" s="76">
        <f>COUNTIFS('TOTAL SUSPEK'!$F:$F,"wonowoso")</f>
        <v>0</v>
      </c>
      <c r="E27" s="22" t="e">
        <f>SUM(#REF!)</f>
        <v>#REF!</v>
      </c>
      <c r="F27" s="22" t="e">
        <f>SUM(#REF!)</f>
        <v>#REF!</v>
      </c>
      <c r="G27" s="22" t="e">
        <f>SUM(#REF!)</f>
        <v>#REF!</v>
      </c>
      <c r="H27" s="22" t="e">
        <f>SUM(#REF!)</f>
        <v>#REF!</v>
      </c>
      <c r="I27" s="22" t="e">
        <f>SUM(#REF!)</f>
        <v>#REF!</v>
      </c>
      <c r="J27" s="22" t="e">
        <f>SUM(#REF!)</f>
        <v>#REF!</v>
      </c>
      <c r="K27" s="22" t="e">
        <f>SUM(#REF!)</f>
        <v>#REF!</v>
      </c>
      <c r="L27" s="22">
        <f>SUM(D27:D43)</f>
        <v>0</v>
      </c>
      <c r="M27" s="22" t="e">
        <f>SUM(#REF!)</f>
        <v>#REF!</v>
      </c>
      <c r="P27" s="42">
        <f t="shared" si="0"/>
        <v>0</v>
      </c>
      <c r="Q27" s="142">
        <f>SUM(P27:P43)</f>
        <v>0</v>
      </c>
    </row>
    <row r="28" spans="1:17" ht="15" customHeight="1" x14ac:dyDescent="0.25">
      <c r="A28" s="61"/>
      <c r="B28" s="62" t="s">
        <v>22</v>
      </c>
      <c r="C28" s="43" t="s">
        <v>24</v>
      </c>
      <c r="D28" s="76">
        <f>COUNTIFS('TOTAL SUSPEK'!$F:$F,"sampang")</f>
        <v>0</v>
      </c>
      <c r="E28" s="22"/>
      <c r="F28" s="23"/>
      <c r="G28" s="23"/>
      <c r="H28" s="23"/>
      <c r="I28" s="23"/>
      <c r="J28" s="23"/>
      <c r="K28" s="24"/>
      <c r="L28" s="24"/>
      <c r="M28" s="24"/>
      <c r="P28" s="42">
        <f t="shared" si="0"/>
        <v>0</v>
      </c>
      <c r="Q28" s="8"/>
    </row>
    <row r="29" spans="1:17" ht="15" customHeight="1" x14ac:dyDescent="0.25">
      <c r="A29" s="61"/>
      <c r="B29" s="62" t="s">
        <v>22</v>
      </c>
      <c r="C29" s="43" t="s">
        <v>242</v>
      </c>
      <c r="D29" s="76">
        <f>COUNTIFS('TOTAL SUSPEK'!$F:$F,"tambakbulusan")</f>
        <v>0</v>
      </c>
      <c r="E29" s="22"/>
      <c r="F29" s="23"/>
      <c r="G29" s="23"/>
      <c r="H29" s="23"/>
      <c r="I29" s="23"/>
      <c r="J29" s="23"/>
      <c r="K29" s="24"/>
      <c r="L29" s="24"/>
      <c r="M29" s="24"/>
      <c r="P29" s="42">
        <f t="shared" si="0"/>
        <v>0</v>
      </c>
      <c r="Q29" s="8"/>
    </row>
    <row r="30" spans="1:17" ht="15" customHeight="1" x14ac:dyDescent="0.25">
      <c r="A30" s="61"/>
      <c r="B30" s="62" t="s">
        <v>22</v>
      </c>
      <c r="C30" s="43" t="s">
        <v>25</v>
      </c>
      <c r="D30" s="76">
        <f>COUNTIFS('TOTAL SUSPEK'!$F:$F,"pulosari")</f>
        <v>0</v>
      </c>
      <c r="E30" s="22"/>
      <c r="F30" s="23"/>
      <c r="G30" s="23"/>
      <c r="H30" s="23"/>
      <c r="I30" s="23"/>
      <c r="J30" s="23"/>
      <c r="K30" s="24"/>
      <c r="L30" s="24"/>
      <c r="M30" s="24"/>
      <c r="P30" s="42">
        <f t="shared" si="0"/>
        <v>0</v>
      </c>
      <c r="Q30" s="8"/>
    </row>
    <row r="31" spans="1:17" ht="15" customHeight="1" x14ac:dyDescent="0.25">
      <c r="A31" s="61"/>
      <c r="B31" s="62" t="s">
        <v>22</v>
      </c>
      <c r="C31" s="43" t="s">
        <v>26</v>
      </c>
      <c r="D31" s="76">
        <f>COUNTIFS('TOTAL SUSPEK'!$F:$F,"Rejosari",'TOTAL SUSPEK'!$E:$E,"karangtengah")</f>
        <v>0</v>
      </c>
      <c r="E31" s="22"/>
      <c r="F31" s="23"/>
      <c r="G31" s="23"/>
      <c r="H31" s="23"/>
      <c r="I31" s="23"/>
      <c r="J31" s="23"/>
      <c r="K31" s="24"/>
      <c r="L31" s="24"/>
      <c r="M31" s="24"/>
      <c r="P31" s="42">
        <f t="shared" si="0"/>
        <v>0</v>
      </c>
      <c r="Q31" s="8"/>
    </row>
    <row r="32" spans="1:17" ht="15" customHeight="1" x14ac:dyDescent="0.25">
      <c r="A32" s="61"/>
      <c r="B32" s="62" t="s">
        <v>22</v>
      </c>
      <c r="C32" s="43" t="s">
        <v>27</v>
      </c>
      <c r="D32" s="76">
        <f>COUNTIFS('TOTAL SUSPEK'!$F:$F,"Ploso")</f>
        <v>0</v>
      </c>
      <c r="E32" s="22"/>
      <c r="F32" s="23"/>
      <c r="G32" s="23"/>
      <c r="H32" s="23"/>
      <c r="I32" s="23"/>
      <c r="J32" s="23"/>
      <c r="K32" s="24"/>
      <c r="L32" s="24"/>
      <c r="M32" s="24"/>
      <c r="P32" s="42">
        <f t="shared" si="0"/>
        <v>0</v>
      </c>
      <c r="Q32" s="8"/>
    </row>
    <row r="33" spans="1:17" ht="15" customHeight="1" x14ac:dyDescent="0.25">
      <c r="A33" s="61"/>
      <c r="B33" s="62" t="s">
        <v>22</v>
      </c>
      <c r="C33" s="43" t="s">
        <v>28</v>
      </c>
      <c r="D33" s="76">
        <f>COUNTIFS('TOTAL SUSPEK'!$F:$F,"Wonokerto")</f>
        <v>0</v>
      </c>
      <c r="E33" s="22"/>
      <c r="F33" s="23"/>
      <c r="G33" s="23"/>
      <c r="H33" s="23"/>
      <c r="I33" s="23"/>
      <c r="J33" s="23"/>
      <c r="K33" s="24"/>
      <c r="L33" s="24"/>
      <c r="M33" s="24"/>
      <c r="P33" s="42">
        <f t="shared" si="0"/>
        <v>0</v>
      </c>
      <c r="Q33" s="8"/>
    </row>
    <row r="34" spans="1:17" ht="15" customHeight="1" x14ac:dyDescent="0.25">
      <c r="A34" s="61"/>
      <c r="B34" s="62" t="s">
        <v>22</v>
      </c>
      <c r="C34" s="43" t="s">
        <v>240</v>
      </c>
      <c r="D34" s="76">
        <f>COUNTIFS('TOTAL SUSPEK'!$F:$F,"Karangsari")</f>
        <v>0</v>
      </c>
      <c r="E34" s="22"/>
      <c r="F34" s="23"/>
      <c r="G34" s="23"/>
      <c r="H34" s="23"/>
      <c r="I34" s="23"/>
      <c r="J34" s="23"/>
      <c r="K34" s="24"/>
      <c r="L34" s="24"/>
      <c r="M34" s="24"/>
      <c r="P34" s="42">
        <f t="shared" si="0"/>
        <v>0</v>
      </c>
      <c r="Q34" s="8"/>
    </row>
    <row r="35" spans="1:17" ht="15" customHeight="1" x14ac:dyDescent="0.25">
      <c r="A35" s="61"/>
      <c r="B35" s="62" t="s">
        <v>22</v>
      </c>
      <c r="C35" s="43" t="s">
        <v>29</v>
      </c>
      <c r="D35" s="76">
        <f>COUNTIFS('TOTAL SUSPEK'!$F:$F,"Batu")</f>
        <v>0</v>
      </c>
      <c r="E35" s="22"/>
      <c r="F35" s="23"/>
      <c r="G35" s="23"/>
      <c r="H35" s="23"/>
      <c r="I35" s="23"/>
      <c r="J35" s="23"/>
      <c r="K35" s="24"/>
      <c r="L35" s="24"/>
      <c r="M35" s="24"/>
      <c r="P35" s="42">
        <f t="shared" si="0"/>
        <v>0</v>
      </c>
      <c r="Q35" s="8"/>
    </row>
    <row r="36" spans="1:17" ht="15" customHeight="1" x14ac:dyDescent="0.25">
      <c r="A36" s="61"/>
      <c r="B36" s="62" t="s">
        <v>22</v>
      </c>
      <c r="C36" s="43" t="s">
        <v>30</v>
      </c>
      <c r="D36" s="76">
        <f>COUNTIFS('TOTAL SUSPEK'!$F:$F,"Donorejo")</f>
        <v>0</v>
      </c>
      <c r="E36" s="22"/>
      <c r="F36" s="23"/>
      <c r="G36" s="23"/>
      <c r="H36" s="23"/>
      <c r="I36" s="23"/>
      <c r="J36" s="23"/>
      <c r="K36" s="24"/>
      <c r="L36" s="24"/>
      <c r="M36" s="24"/>
      <c r="P36" s="42">
        <f t="shared" si="0"/>
        <v>0</v>
      </c>
      <c r="Q36" s="8"/>
    </row>
    <row r="37" spans="1:17" ht="15" customHeight="1" x14ac:dyDescent="0.25">
      <c r="A37" s="61"/>
      <c r="B37" s="62" t="s">
        <v>22</v>
      </c>
      <c r="C37" s="43" t="s">
        <v>276</v>
      </c>
      <c r="D37" s="76">
        <f>COUNTIFS('TOTAL SUSPEK'!$F:$F,"Kedunguter")</f>
        <v>0</v>
      </c>
      <c r="E37" s="22"/>
      <c r="F37" s="23"/>
      <c r="G37" s="23"/>
      <c r="H37" s="23"/>
      <c r="I37" s="23"/>
      <c r="J37" s="23"/>
      <c r="K37" s="24"/>
      <c r="L37" s="24"/>
      <c r="M37" s="24"/>
      <c r="P37" s="42">
        <f t="shared" si="0"/>
        <v>0</v>
      </c>
      <c r="Q37" s="8"/>
    </row>
    <row r="38" spans="1:17" ht="15" customHeight="1" x14ac:dyDescent="0.25">
      <c r="A38" s="61"/>
      <c r="B38" s="62" t="s">
        <v>22</v>
      </c>
      <c r="C38" s="43" t="s">
        <v>277</v>
      </c>
      <c r="D38" s="76">
        <f>COUNTIFS('TOTAL SUSPEK'!$F:$F,"Karangtowo")</f>
        <v>0</v>
      </c>
      <c r="E38" s="22"/>
      <c r="F38" s="23"/>
      <c r="G38" s="23"/>
      <c r="H38" s="23"/>
      <c r="I38" s="23"/>
      <c r="J38" s="23"/>
      <c r="K38" s="24"/>
      <c r="L38" s="24"/>
      <c r="M38" s="24"/>
      <c r="P38" s="42">
        <f t="shared" si="0"/>
        <v>0</v>
      </c>
      <c r="Q38" s="8"/>
    </row>
    <row r="39" spans="1:17" ht="15" customHeight="1" x14ac:dyDescent="0.25">
      <c r="A39" s="61"/>
      <c r="B39" s="62" t="s">
        <v>22</v>
      </c>
      <c r="C39" s="43" t="s">
        <v>31</v>
      </c>
      <c r="D39" s="76">
        <f>COUNTIFS('TOTAL SUSPEK'!$F:$F,"Wonoagung")</f>
        <v>0</v>
      </c>
      <c r="E39" s="22"/>
      <c r="F39" s="23"/>
      <c r="G39" s="23"/>
      <c r="H39" s="23"/>
      <c r="I39" s="23"/>
      <c r="J39" s="23"/>
      <c r="K39" s="24"/>
      <c r="L39" s="24"/>
      <c r="M39" s="24"/>
      <c r="P39" s="42">
        <f t="shared" si="0"/>
        <v>0</v>
      </c>
      <c r="Q39" s="8"/>
    </row>
    <row r="40" spans="1:17" ht="15" customHeight="1" x14ac:dyDescent="0.25">
      <c r="A40" s="61"/>
      <c r="B40" s="62" t="s">
        <v>22</v>
      </c>
      <c r="C40" s="43" t="s">
        <v>32</v>
      </c>
      <c r="D40" s="76">
        <f>COUNTIFS('TOTAL SUSPEK'!$F:$F,"Klitih")</f>
        <v>0</v>
      </c>
      <c r="E40" s="22"/>
      <c r="F40" s="23"/>
      <c r="G40" s="23"/>
      <c r="H40" s="23"/>
      <c r="I40" s="23"/>
      <c r="J40" s="23"/>
      <c r="K40" s="24"/>
      <c r="L40" s="24"/>
      <c r="M40" s="24"/>
      <c r="P40" s="42">
        <f t="shared" si="0"/>
        <v>0</v>
      </c>
      <c r="Q40" s="8"/>
    </row>
    <row r="41" spans="1:17" ht="15" customHeight="1" x14ac:dyDescent="0.25">
      <c r="A41" s="61"/>
      <c r="B41" s="62" t="s">
        <v>22</v>
      </c>
      <c r="C41" s="43" t="s">
        <v>33</v>
      </c>
      <c r="D41" s="76">
        <f>COUNTIFS('TOTAL SUSPEK'!$F:$F,"Grogol")</f>
        <v>0</v>
      </c>
      <c r="E41" s="22"/>
      <c r="F41" s="23"/>
      <c r="G41" s="23"/>
      <c r="H41" s="23"/>
      <c r="I41" s="23"/>
      <c r="J41" s="23"/>
      <c r="K41" s="24"/>
      <c r="L41" s="24"/>
      <c r="M41" s="24"/>
      <c r="P41" s="42">
        <f t="shared" si="0"/>
        <v>0</v>
      </c>
      <c r="Q41" s="8"/>
    </row>
    <row r="42" spans="1:17" ht="15" customHeight="1" x14ac:dyDescent="0.25">
      <c r="A42" s="61"/>
      <c r="B42" s="62" t="s">
        <v>22</v>
      </c>
      <c r="C42" s="43" t="s">
        <v>34</v>
      </c>
      <c r="D42" s="76">
        <f>COUNTIFS('TOTAL SUSPEK'!$F:$F,"Pidodo")</f>
        <v>0</v>
      </c>
      <c r="E42" s="22"/>
      <c r="F42" s="23"/>
      <c r="G42" s="23"/>
      <c r="H42" s="23"/>
      <c r="I42" s="23"/>
      <c r="J42" s="23"/>
      <c r="K42" s="24"/>
      <c r="L42" s="24"/>
      <c r="M42" s="24"/>
      <c r="P42" s="42">
        <f t="shared" si="0"/>
        <v>0</v>
      </c>
      <c r="Q42" s="8"/>
    </row>
    <row r="43" spans="1:17" ht="15" customHeight="1" x14ac:dyDescent="0.25">
      <c r="A43" s="61"/>
      <c r="B43" s="62" t="s">
        <v>22</v>
      </c>
      <c r="C43" s="43" t="s">
        <v>35</v>
      </c>
      <c r="D43" s="76">
        <f>COUNTIFS('TOTAL SUSPEK'!$F:$F,"Dukun")</f>
        <v>0</v>
      </c>
      <c r="E43" s="22"/>
      <c r="F43" s="23"/>
      <c r="G43" s="23"/>
      <c r="H43" s="23"/>
      <c r="I43" s="23"/>
      <c r="J43" s="23"/>
      <c r="K43" s="24"/>
      <c r="L43" s="24"/>
      <c r="M43" s="24"/>
      <c r="P43" s="42">
        <f t="shared" si="0"/>
        <v>0</v>
      </c>
      <c r="Q43" s="8"/>
    </row>
    <row r="44" spans="1:17" x14ac:dyDescent="0.25">
      <c r="A44" s="47">
        <v>3</v>
      </c>
      <c r="B44" s="63" t="s">
        <v>36</v>
      </c>
      <c r="C44" s="43" t="s">
        <v>37</v>
      </c>
      <c r="D44" s="76">
        <f>COUNTIFS('TOTAL SUSPEK'!$F:$F,"Botorejo")</f>
        <v>0</v>
      </c>
      <c r="E44" s="22" t="e">
        <f>SUM(#REF!)</f>
        <v>#REF!</v>
      </c>
      <c r="F44" s="22" t="e">
        <f>SUM(#REF!)</f>
        <v>#REF!</v>
      </c>
      <c r="G44" s="22" t="e">
        <f>SUM(#REF!)</f>
        <v>#REF!</v>
      </c>
      <c r="H44" s="22" t="e">
        <f>SUM(#REF!)</f>
        <v>#REF!</v>
      </c>
      <c r="I44" s="22" t="e">
        <f>SUM(#REF!)</f>
        <v>#REF!</v>
      </c>
      <c r="J44" s="22" t="e">
        <f>SUM(#REF!)</f>
        <v>#REF!</v>
      </c>
      <c r="K44" s="22" t="e">
        <f>SUM(#REF!)</f>
        <v>#REF!</v>
      </c>
      <c r="L44" s="22">
        <f>SUM(D44:D64)</f>
        <v>0</v>
      </c>
      <c r="M44" s="22" t="e">
        <f>SUM(#REF!)</f>
        <v>#REF!</v>
      </c>
      <c r="P44" s="42">
        <f t="shared" si="0"/>
        <v>0</v>
      </c>
      <c r="Q44" s="142">
        <f>SUM(P44:P64)</f>
        <v>0</v>
      </c>
    </row>
    <row r="45" spans="1:17" x14ac:dyDescent="0.25">
      <c r="A45" s="47"/>
      <c r="B45" s="63" t="s">
        <v>36</v>
      </c>
      <c r="C45" s="43" t="s">
        <v>38</v>
      </c>
      <c r="D45" s="76">
        <f>COUNTIFS('TOTAL SUSPEK'!$F:$F,"Getas")</f>
        <v>0</v>
      </c>
      <c r="E45" s="22"/>
      <c r="F45" s="23"/>
      <c r="G45" s="23"/>
      <c r="H45" s="23"/>
      <c r="I45" s="23"/>
      <c r="J45" s="23"/>
      <c r="K45" s="24"/>
      <c r="L45" s="24"/>
      <c r="M45" s="24"/>
      <c r="P45" s="42">
        <f t="shared" si="0"/>
        <v>0</v>
      </c>
      <c r="Q45" s="8"/>
    </row>
    <row r="46" spans="1:17" x14ac:dyDescent="0.25">
      <c r="A46" s="47"/>
      <c r="B46" s="63" t="s">
        <v>36</v>
      </c>
      <c r="C46" s="43" t="s">
        <v>39</v>
      </c>
      <c r="D46" s="76">
        <f>COUNTIFS('TOTAL SUSPEK'!$F:$F,"Kuncir")</f>
        <v>0</v>
      </c>
      <c r="E46" s="22"/>
      <c r="F46" s="23"/>
      <c r="G46" s="23"/>
      <c r="H46" s="23"/>
      <c r="I46" s="23"/>
      <c r="J46" s="23"/>
      <c r="K46" s="24"/>
      <c r="L46" s="24"/>
      <c r="M46" s="24"/>
      <c r="P46" s="42">
        <f t="shared" si="0"/>
        <v>0</v>
      </c>
      <c r="Q46" s="8"/>
    </row>
    <row r="47" spans="1:17" x14ac:dyDescent="0.25">
      <c r="A47" s="47"/>
      <c r="B47" s="63" t="s">
        <v>36</v>
      </c>
      <c r="C47" s="43" t="s">
        <v>40</v>
      </c>
      <c r="D47" s="76">
        <f>COUNTIFS('TOTAL SUSPEK'!$F:$F,"trengguli")</f>
        <v>0</v>
      </c>
      <c r="E47" s="22"/>
      <c r="F47" s="23"/>
      <c r="G47" s="23"/>
      <c r="H47" s="23"/>
      <c r="I47" s="23"/>
      <c r="J47" s="23"/>
      <c r="K47" s="24"/>
      <c r="L47" s="24"/>
      <c r="M47" s="24"/>
      <c r="P47" s="42">
        <f t="shared" si="0"/>
        <v>0</v>
      </c>
      <c r="Q47" s="8"/>
    </row>
    <row r="48" spans="1:17" x14ac:dyDescent="0.25">
      <c r="A48" s="47"/>
      <c r="B48" s="63" t="s">
        <v>36</v>
      </c>
      <c r="C48" s="43" t="s">
        <v>41</v>
      </c>
      <c r="D48" s="76">
        <f>COUNTIFS('TOTAL SUSPEK'!$F:$F,"Mranak")</f>
        <v>0</v>
      </c>
      <c r="E48" s="22"/>
      <c r="F48" s="23"/>
      <c r="G48" s="23"/>
      <c r="H48" s="23"/>
      <c r="I48" s="23"/>
      <c r="J48" s="23"/>
      <c r="K48" s="24"/>
      <c r="L48" s="24"/>
      <c r="M48" s="24"/>
      <c r="P48" s="42">
        <f t="shared" si="0"/>
        <v>0</v>
      </c>
      <c r="Q48" s="8"/>
    </row>
    <row r="49" spans="1:17" x14ac:dyDescent="0.25">
      <c r="A49" s="47"/>
      <c r="B49" s="63" t="s">
        <v>36</v>
      </c>
      <c r="C49" s="43" t="s">
        <v>42</v>
      </c>
      <c r="D49" s="76">
        <f>COUNTIFS('TOTAL SUSPEK'!$F:$F,"Pilangrejo")</f>
        <v>0</v>
      </c>
      <c r="E49" s="22"/>
      <c r="F49" s="23"/>
      <c r="G49" s="23"/>
      <c r="H49" s="23"/>
      <c r="I49" s="23"/>
      <c r="J49" s="23"/>
      <c r="K49" s="24"/>
      <c r="L49" s="24"/>
      <c r="M49" s="24"/>
      <c r="P49" s="42">
        <f t="shared" si="0"/>
        <v>0</v>
      </c>
      <c r="Q49" s="8"/>
    </row>
    <row r="50" spans="1:17" x14ac:dyDescent="0.25">
      <c r="A50" s="47"/>
      <c r="B50" s="63" t="s">
        <v>36</v>
      </c>
      <c r="C50" s="43" t="s">
        <v>43</v>
      </c>
      <c r="D50" s="76">
        <f>COUNTIFS('TOTAL SUSPEK'!$F:$F,"Kerangkulon")</f>
        <v>0</v>
      </c>
      <c r="E50" s="22"/>
      <c r="F50" s="23"/>
      <c r="G50" s="23"/>
      <c r="H50" s="23"/>
      <c r="I50" s="23"/>
      <c r="J50" s="23"/>
      <c r="K50" s="24"/>
      <c r="L50" s="24"/>
      <c r="M50" s="24"/>
      <c r="P50" s="42">
        <f t="shared" si="0"/>
        <v>0</v>
      </c>
      <c r="Q50" s="8"/>
    </row>
    <row r="51" spans="1:17" x14ac:dyDescent="0.25">
      <c r="A51" s="47"/>
      <c r="B51" s="63" t="s">
        <v>36</v>
      </c>
      <c r="C51" s="43" t="s">
        <v>44</v>
      </c>
      <c r="D51" s="76">
        <f>COUNTIFS('TOTAL SUSPEK'!$F:$F,"Sidomulyo",'TOTAL SUSPEK'!$E:$E,"wonosalam")</f>
        <v>0</v>
      </c>
      <c r="E51" s="22"/>
      <c r="F51" s="23"/>
      <c r="G51" s="23"/>
      <c r="H51" s="23"/>
      <c r="I51" s="23"/>
      <c r="J51" s="23"/>
      <c r="K51" s="24"/>
      <c r="L51" s="24"/>
      <c r="M51" s="24"/>
      <c r="P51" s="42">
        <f t="shared" si="0"/>
        <v>0</v>
      </c>
      <c r="Q51" s="8"/>
    </row>
    <row r="52" spans="1:17" x14ac:dyDescent="0.25">
      <c r="A52" s="47"/>
      <c r="B52" s="63" t="s">
        <v>36</v>
      </c>
      <c r="C52" s="43" t="s">
        <v>45</v>
      </c>
      <c r="D52" s="76">
        <f>COUNTIFS('TOTAL SUSPEK'!$F:$F,"Bunderan")</f>
        <v>0</v>
      </c>
      <c r="E52" s="22"/>
      <c r="F52" s="23"/>
      <c r="G52" s="23"/>
      <c r="H52" s="23"/>
      <c r="I52" s="23"/>
      <c r="J52" s="23"/>
      <c r="K52" s="24"/>
      <c r="L52" s="24"/>
      <c r="M52" s="24"/>
      <c r="P52" s="42">
        <f t="shared" si="0"/>
        <v>0</v>
      </c>
      <c r="Q52" s="8"/>
    </row>
    <row r="53" spans="1:17" x14ac:dyDescent="0.25">
      <c r="A53" s="47"/>
      <c r="B53" s="63" t="s">
        <v>36</v>
      </c>
      <c r="C53" s="43" t="s">
        <v>46</v>
      </c>
      <c r="D53" s="76">
        <f>COUNTIFS('TOTAL SUSPEK'!$F:$F,"Mojodemak")</f>
        <v>0</v>
      </c>
      <c r="E53" s="22"/>
      <c r="F53" s="23"/>
      <c r="G53" s="23"/>
      <c r="H53" s="23"/>
      <c r="I53" s="23"/>
      <c r="J53" s="23"/>
      <c r="K53" s="24"/>
      <c r="L53" s="24"/>
      <c r="M53" s="24"/>
      <c r="P53" s="42">
        <f t="shared" si="0"/>
        <v>0</v>
      </c>
      <c r="Q53" s="8"/>
    </row>
    <row r="54" spans="1:17" x14ac:dyDescent="0.25">
      <c r="A54" s="47"/>
      <c r="B54" s="63" t="s">
        <v>36</v>
      </c>
      <c r="C54" s="43" t="s">
        <v>47</v>
      </c>
      <c r="D54" s="76">
        <f>COUNTIFS('TOTAL SUSPEK'!$F:$F,"Mrisen")</f>
        <v>0</v>
      </c>
      <c r="E54" s="22"/>
      <c r="F54" s="23"/>
      <c r="G54" s="23"/>
      <c r="H54" s="23"/>
      <c r="I54" s="23"/>
      <c r="J54" s="23"/>
      <c r="K54" s="24"/>
      <c r="L54" s="24"/>
      <c r="M54" s="24"/>
      <c r="P54" s="42">
        <f t="shared" si="0"/>
        <v>0</v>
      </c>
      <c r="Q54" s="8"/>
    </row>
    <row r="55" spans="1:17" x14ac:dyDescent="0.25">
      <c r="A55" s="47"/>
      <c r="B55" s="63" t="s">
        <v>36</v>
      </c>
      <c r="C55" s="43" t="s">
        <v>48</v>
      </c>
      <c r="D55" s="76">
        <f>COUNTIFS('TOTAL SUSPEK'!$F:$F,"Doreng")</f>
        <v>0</v>
      </c>
      <c r="E55" s="22"/>
      <c r="F55" s="23"/>
      <c r="G55" s="23"/>
      <c r="H55" s="23"/>
      <c r="I55" s="23"/>
      <c r="J55" s="23"/>
      <c r="K55" s="24"/>
      <c r="L55" s="24"/>
      <c r="M55" s="24"/>
      <c r="P55" s="42">
        <f t="shared" si="0"/>
        <v>0</v>
      </c>
      <c r="Q55" s="8"/>
    </row>
    <row r="56" spans="1:17" x14ac:dyDescent="0.25">
      <c r="A56" s="47"/>
      <c r="B56" s="63" t="s">
        <v>36</v>
      </c>
      <c r="C56" s="43" t="s">
        <v>274</v>
      </c>
      <c r="D56" s="76">
        <f>COUNTIFS('TOTAL SUSPEK'!$F:$F,"Karangrowo")</f>
        <v>0</v>
      </c>
      <c r="E56" s="22"/>
      <c r="F56" s="23"/>
      <c r="G56" s="23"/>
      <c r="H56" s="23"/>
      <c r="I56" s="23"/>
      <c r="J56" s="23"/>
      <c r="K56" s="24"/>
      <c r="L56" s="24"/>
      <c r="M56" s="24"/>
      <c r="P56" s="42">
        <f t="shared" si="0"/>
        <v>0</v>
      </c>
      <c r="Q56" s="8"/>
    </row>
    <row r="57" spans="1:17" x14ac:dyDescent="0.25">
      <c r="A57" s="47"/>
      <c r="B57" s="63" t="s">
        <v>36</v>
      </c>
      <c r="C57" s="43" t="s">
        <v>49</v>
      </c>
      <c r="D57" s="76">
        <f>COUNTIFS('TOTAL SUSPEK'!$F:$F,"Kalianyar")</f>
        <v>0</v>
      </c>
      <c r="E57" s="22"/>
      <c r="F57" s="23"/>
      <c r="G57" s="23"/>
      <c r="H57" s="23"/>
      <c r="I57" s="23"/>
      <c r="J57" s="23"/>
      <c r="K57" s="24"/>
      <c r="L57" s="24"/>
      <c r="M57" s="24"/>
      <c r="P57" s="42">
        <f t="shared" si="0"/>
        <v>0</v>
      </c>
      <c r="Q57" s="8"/>
    </row>
    <row r="58" spans="1:17" x14ac:dyDescent="0.25">
      <c r="A58" s="47"/>
      <c r="B58" s="63" t="s">
        <v>36</v>
      </c>
      <c r="C58" s="43" t="s">
        <v>36</v>
      </c>
      <c r="D58" s="76">
        <f>COUNTIFS('TOTAL SUSPEK'!$F:$F,"Wonosalam")</f>
        <v>0</v>
      </c>
      <c r="E58" s="22"/>
      <c r="F58" s="23"/>
      <c r="G58" s="23"/>
      <c r="H58" s="23"/>
      <c r="I58" s="23"/>
      <c r="J58" s="23"/>
      <c r="K58" s="24"/>
      <c r="L58" s="24"/>
      <c r="M58" s="24"/>
      <c r="P58" s="42">
        <f t="shared" si="0"/>
        <v>0</v>
      </c>
      <c r="Q58" s="8"/>
    </row>
    <row r="59" spans="1:17" x14ac:dyDescent="0.25">
      <c r="A59" s="47"/>
      <c r="B59" s="63" t="s">
        <v>36</v>
      </c>
      <c r="C59" s="43" t="s">
        <v>50</v>
      </c>
      <c r="D59" s="76">
        <f>COUNTIFS('TOTAL SUSPEK'!$F:$F,"Tlogorejo",'TOTAL SUSPEK'!$E:$E,"wonosalam")</f>
        <v>0</v>
      </c>
      <c r="E59" s="22"/>
      <c r="F59" s="23"/>
      <c r="G59" s="23"/>
      <c r="H59" s="23"/>
      <c r="I59" s="23"/>
      <c r="J59" s="23"/>
      <c r="K59" s="24"/>
      <c r="L59" s="24"/>
      <c r="M59" s="24"/>
      <c r="P59" s="42">
        <f t="shared" si="0"/>
        <v>0</v>
      </c>
      <c r="Q59" s="8"/>
    </row>
    <row r="60" spans="1:17" x14ac:dyDescent="0.25">
      <c r="A60" s="47"/>
      <c r="B60" s="63" t="s">
        <v>36</v>
      </c>
      <c r="C60" s="43" t="s">
        <v>51</v>
      </c>
      <c r="D60" s="76">
        <f>COUNTIFS('TOTAL SUSPEK'!$F:$F,"Tlogodowo")</f>
        <v>0</v>
      </c>
      <c r="E60" s="22"/>
      <c r="F60" s="23"/>
      <c r="G60" s="23"/>
      <c r="H60" s="23"/>
      <c r="I60" s="23"/>
      <c r="J60" s="23"/>
      <c r="K60" s="24"/>
      <c r="L60" s="24"/>
      <c r="M60" s="24"/>
      <c r="P60" s="42">
        <f t="shared" si="0"/>
        <v>0</v>
      </c>
      <c r="Q60" s="8"/>
    </row>
    <row r="61" spans="1:17" x14ac:dyDescent="0.25">
      <c r="A61" s="47"/>
      <c r="B61" s="63" t="s">
        <v>36</v>
      </c>
      <c r="C61" s="43" t="s">
        <v>52</v>
      </c>
      <c r="D61" s="76">
        <f>COUNTIFS('TOTAL SUSPEK'!$F:$F,"Lempuyang")</f>
        <v>0</v>
      </c>
      <c r="E61" s="22"/>
      <c r="F61" s="23"/>
      <c r="G61" s="23"/>
      <c r="H61" s="23"/>
      <c r="I61" s="23"/>
      <c r="J61" s="23"/>
      <c r="K61" s="24"/>
      <c r="L61" s="24"/>
      <c r="M61" s="24"/>
      <c r="P61" s="42">
        <f t="shared" si="0"/>
        <v>0</v>
      </c>
      <c r="Q61" s="8"/>
    </row>
    <row r="62" spans="1:17" x14ac:dyDescent="0.25">
      <c r="A62" s="47"/>
      <c r="B62" s="63" t="s">
        <v>36</v>
      </c>
      <c r="C62" s="43" t="s">
        <v>53</v>
      </c>
      <c r="D62" s="76">
        <f>COUNTIFS('TOTAL SUSPEK'!$F:$F,"Karangrejo",'TOTAL SUSPEK'!$E:$E,"Wonosalam")</f>
        <v>0</v>
      </c>
      <c r="E62" s="22"/>
      <c r="F62" s="23"/>
      <c r="G62" s="23"/>
      <c r="H62" s="23"/>
      <c r="I62" s="23"/>
      <c r="J62" s="23"/>
      <c r="K62" s="24"/>
      <c r="L62" s="24"/>
      <c r="M62" s="24"/>
      <c r="P62" s="42">
        <f t="shared" si="0"/>
        <v>0</v>
      </c>
      <c r="Q62" s="8"/>
    </row>
    <row r="63" spans="1:17" x14ac:dyDescent="0.25">
      <c r="A63" s="47"/>
      <c r="B63" s="63" t="s">
        <v>36</v>
      </c>
      <c r="C63" s="43" t="s">
        <v>275</v>
      </c>
      <c r="D63" s="76">
        <f>COUNTIFS('TOTAL SUSPEK'!$F:$F,"Kendaldoyong")</f>
        <v>0</v>
      </c>
      <c r="E63" s="22"/>
      <c r="F63" s="23"/>
      <c r="G63" s="23"/>
      <c r="H63" s="23"/>
      <c r="I63" s="23"/>
      <c r="J63" s="23"/>
      <c r="K63" s="24"/>
      <c r="L63" s="24"/>
      <c r="M63" s="24"/>
      <c r="P63" s="42">
        <f t="shared" si="0"/>
        <v>0</v>
      </c>
      <c r="Q63" s="8"/>
    </row>
    <row r="64" spans="1:17" x14ac:dyDescent="0.25">
      <c r="A64" s="47"/>
      <c r="B64" s="63" t="s">
        <v>36</v>
      </c>
      <c r="C64" s="43" t="s">
        <v>54</v>
      </c>
      <c r="D64" s="76">
        <f>COUNTIFS('TOTAL SUSPEK'!$F:$F,"Jogoloyo")</f>
        <v>0</v>
      </c>
      <c r="E64" s="22"/>
      <c r="F64" s="23"/>
      <c r="G64" s="23"/>
      <c r="H64" s="23"/>
      <c r="I64" s="23"/>
      <c r="J64" s="23"/>
      <c r="K64" s="24"/>
      <c r="L64" s="24"/>
      <c r="M64" s="24"/>
      <c r="P64" s="42">
        <f t="shared" si="0"/>
        <v>0</v>
      </c>
      <c r="Q64" s="8"/>
    </row>
    <row r="65" spans="1:17" x14ac:dyDescent="0.25">
      <c r="A65" s="61">
        <v>4</v>
      </c>
      <c r="B65" s="62" t="s">
        <v>55</v>
      </c>
      <c r="C65" s="64" t="s">
        <v>56</v>
      </c>
      <c r="D65" s="76">
        <f>COUNTIFS('TOTAL SUSPEK'!$F:$F,"Kedondong",'TOTAL SUSPEK'!$E:$E,"gajah")</f>
        <v>0</v>
      </c>
      <c r="E65" s="22" t="e">
        <f>SUM(#REF!)</f>
        <v>#REF!</v>
      </c>
      <c r="F65" s="22" t="e">
        <f>SUM(#REF!)</f>
        <v>#REF!</v>
      </c>
      <c r="G65" s="22" t="e">
        <f>SUM(#REF!)</f>
        <v>#REF!</v>
      </c>
      <c r="H65" s="22" t="e">
        <f>SUM(#REF!)</f>
        <v>#REF!</v>
      </c>
      <c r="I65" s="22" t="e">
        <f>SUM(#REF!)</f>
        <v>#REF!</v>
      </c>
      <c r="J65" s="22" t="e">
        <f>SUM(#REF!)</f>
        <v>#REF!</v>
      </c>
      <c r="K65" s="22" t="e">
        <f>SUM(#REF!)</f>
        <v>#REF!</v>
      </c>
      <c r="L65" s="22">
        <f>SUM(D65:D82)</f>
        <v>0</v>
      </c>
      <c r="M65" s="22" t="e">
        <f>SUM(#REF!)</f>
        <v>#REF!</v>
      </c>
      <c r="P65" s="42">
        <f t="shared" si="0"/>
        <v>0</v>
      </c>
      <c r="Q65" s="142">
        <f>SUM(P65:P82)</f>
        <v>0</v>
      </c>
    </row>
    <row r="66" spans="1:17" x14ac:dyDescent="0.25">
      <c r="A66" s="61"/>
      <c r="B66" s="62" t="s">
        <v>55</v>
      </c>
      <c r="C66" s="65" t="s">
        <v>57</v>
      </c>
      <c r="D66" s="76">
        <f>COUNTIFS('TOTAL SUSPEK'!$F:$F,"Banjarsari",'TOTAL SUSPEK'!$E:$E,"gajah")</f>
        <v>0</v>
      </c>
      <c r="E66" s="22"/>
      <c r="F66" s="23"/>
      <c r="G66" s="23"/>
      <c r="H66" s="23"/>
      <c r="I66" s="23"/>
      <c r="J66" s="23"/>
      <c r="K66" s="24"/>
      <c r="L66" s="24"/>
      <c r="M66" s="24"/>
      <c r="P66" s="42">
        <f t="shared" si="0"/>
        <v>0</v>
      </c>
      <c r="Q66" s="8"/>
    </row>
    <row r="67" spans="1:17" x14ac:dyDescent="0.25">
      <c r="A67" s="61"/>
      <c r="B67" s="62" t="s">
        <v>55</v>
      </c>
      <c r="C67" s="64" t="s">
        <v>55</v>
      </c>
      <c r="D67" s="76">
        <f>COUNTIFS('TOTAL SUSPEK'!$F:$F,"Gajah")</f>
        <v>0</v>
      </c>
      <c r="E67" s="22"/>
      <c r="F67" s="23"/>
      <c r="G67" s="23"/>
      <c r="H67" s="23"/>
      <c r="I67" s="23"/>
      <c r="J67" s="23"/>
      <c r="K67" s="24"/>
      <c r="L67" s="24"/>
      <c r="M67" s="24"/>
      <c r="P67" s="42">
        <f t="shared" si="0"/>
        <v>0</v>
      </c>
      <c r="Q67" s="8"/>
    </row>
    <row r="68" spans="1:17" x14ac:dyDescent="0.25">
      <c r="A68" s="61"/>
      <c r="B68" s="62" t="s">
        <v>55</v>
      </c>
      <c r="C68" s="64" t="s">
        <v>58</v>
      </c>
      <c r="D68" s="76">
        <f>COUNTIFS('TOTAL SUSPEK'!$F:$F,"Sari")</f>
        <v>0</v>
      </c>
      <c r="E68" s="22"/>
      <c r="F68" s="23"/>
      <c r="G68" s="23"/>
      <c r="H68" s="23"/>
      <c r="I68" s="23"/>
      <c r="J68" s="23"/>
      <c r="K68" s="24"/>
      <c r="L68" s="24"/>
      <c r="M68" s="24"/>
      <c r="P68" s="42">
        <f t="shared" si="0"/>
        <v>0</v>
      </c>
      <c r="Q68" s="8"/>
    </row>
    <row r="69" spans="1:17" x14ac:dyDescent="0.25">
      <c r="A69" s="61"/>
      <c r="B69" s="62" t="s">
        <v>55</v>
      </c>
      <c r="C69" s="64" t="s">
        <v>59</v>
      </c>
      <c r="D69" s="76">
        <f>COUNTIFS('TOTAL SUSPEK'!$F:$F,"Boyolali")</f>
        <v>0</v>
      </c>
      <c r="E69" s="22"/>
      <c r="F69" s="23"/>
      <c r="G69" s="23"/>
      <c r="H69" s="23"/>
      <c r="I69" s="23"/>
      <c r="J69" s="23"/>
      <c r="K69" s="24"/>
      <c r="L69" s="24"/>
      <c r="M69" s="24"/>
      <c r="P69" s="42">
        <f t="shared" si="0"/>
        <v>0</v>
      </c>
      <c r="Q69" s="8"/>
    </row>
    <row r="70" spans="1:17" x14ac:dyDescent="0.25">
      <c r="A70" s="61"/>
      <c r="B70" s="62" t="s">
        <v>55</v>
      </c>
      <c r="C70" s="64" t="s">
        <v>60</v>
      </c>
      <c r="D70" s="76">
        <f>COUNTIFS('TOTAL SUSPEK'!$F:$F,"Jatisono")</f>
        <v>0</v>
      </c>
      <c r="E70" s="22"/>
      <c r="F70" s="23"/>
      <c r="G70" s="23"/>
      <c r="H70" s="23"/>
      <c r="I70" s="23"/>
      <c r="J70" s="23"/>
      <c r="K70" s="24"/>
      <c r="L70" s="24"/>
      <c r="M70" s="24"/>
      <c r="P70" s="42">
        <f t="shared" si="0"/>
        <v>0</v>
      </c>
      <c r="Q70" s="8"/>
    </row>
    <row r="71" spans="1:17" x14ac:dyDescent="0.25">
      <c r="A71" s="61"/>
      <c r="B71" s="62" t="s">
        <v>55</v>
      </c>
      <c r="C71" s="64" t="s">
        <v>61</v>
      </c>
      <c r="D71" s="76">
        <f>COUNTIFS('TOTAL SUSPEK'!$F:$F,"Sambiroto")</f>
        <v>0</v>
      </c>
      <c r="E71" s="22"/>
      <c r="F71" s="23"/>
      <c r="G71" s="23"/>
      <c r="H71" s="23"/>
      <c r="I71" s="23"/>
      <c r="J71" s="23"/>
      <c r="K71" s="24"/>
      <c r="L71" s="24"/>
      <c r="M71" s="24"/>
      <c r="P71" s="42">
        <f t="shared" si="0"/>
        <v>0</v>
      </c>
      <c r="Q71" s="8"/>
    </row>
    <row r="72" spans="1:17" x14ac:dyDescent="0.25">
      <c r="A72" s="61"/>
      <c r="B72" s="62" t="s">
        <v>55</v>
      </c>
      <c r="C72" s="64" t="s">
        <v>62</v>
      </c>
      <c r="D72" s="76">
        <f>COUNTIFS('TOTAL SUSPEK'!$F:$F,"Tlogopandogan")</f>
        <v>0</v>
      </c>
      <c r="E72" s="22"/>
      <c r="F72" s="23"/>
      <c r="G72" s="23"/>
      <c r="H72" s="23"/>
      <c r="I72" s="23"/>
      <c r="J72" s="23"/>
      <c r="K72" s="24"/>
      <c r="L72" s="24"/>
      <c r="M72" s="24"/>
      <c r="P72" s="42">
        <f t="shared" ref="P72:P135" si="1">SUM(D72:D72)</f>
        <v>0</v>
      </c>
      <c r="Q72" s="8"/>
    </row>
    <row r="73" spans="1:17" x14ac:dyDescent="0.25">
      <c r="A73" s="61"/>
      <c r="B73" s="62" t="s">
        <v>55</v>
      </c>
      <c r="C73" s="64" t="s">
        <v>63</v>
      </c>
      <c r="D73" s="76">
        <f>COUNTIFS('TOTAL SUSPEK'!$F:$F,"Surodadi",'TOTAL SUSPEK'!$E:$E,"gajah")</f>
        <v>0</v>
      </c>
      <c r="E73" s="22"/>
      <c r="F73" s="23"/>
      <c r="G73" s="23"/>
      <c r="H73" s="23"/>
      <c r="I73" s="23"/>
      <c r="J73" s="23"/>
      <c r="K73" s="24"/>
      <c r="L73" s="24"/>
      <c r="M73" s="24"/>
      <c r="P73" s="42">
        <f t="shared" si="1"/>
        <v>0</v>
      </c>
      <c r="Q73" s="8"/>
    </row>
    <row r="74" spans="1:17" x14ac:dyDescent="0.25">
      <c r="A74" s="61"/>
      <c r="B74" s="62" t="s">
        <v>55</v>
      </c>
      <c r="C74" s="64" t="s">
        <v>64</v>
      </c>
      <c r="D74" s="76">
        <f>COUNTIFS('TOTAL SUSPEK'!$F:$F,"Gedangalas")</f>
        <v>0</v>
      </c>
      <c r="E74" s="22"/>
      <c r="F74" s="23"/>
      <c r="G74" s="23"/>
      <c r="H74" s="23"/>
      <c r="I74" s="23"/>
      <c r="J74" s="23"/>
      <c r="K74" s="24"/>
      <c r="L74" s="24"/>
      <c r="M74" s="24"/>
      <c r="P74" s="42">
        <f t="shared" si="1"/>
        <v>0</v>
      </c>
      <c r="Q74" s="8"/>
    </row>
    <row r="75" spans="1:17" x14ac:dyDescent="0.25">
      <c r="A75" s="61"/>
      <c r="B75" s="62" t="s">
        <v>55</v>
      </c>
      <c r="C75" s="64" t="s">
        <v>65</v>
      </c>
      <c r="D75" s="76">
        <f>COUNTIFS('TOTAL SUSPEK'!$F:$F,"Sambung")</f>
        <v>0</v>
      </c>
      <c r="E75" s="22"/>
      <c r="F75" s="23"/>
      <c r="G75" s="23"/>
      <c r="H75" s="23"/>
      <c r="I75" s="23"/>
      <c r="J75" s="23"/>
      <c r="K75" s="24"/>
      <c r="L75" s="24"/>
      <c r="M75" s="24"/>
      <c r="P75" s="42">
        <f t="shared" si="1"/>
        <v>0</v>
      </c>
      <c r="Q75" s="8"/>
    </row>
    <row r="76" spans="1:17" x14ac:dyDescent="0.25">
      <c r="A76" s="61"/>
      <c r="B76" s="62" t="s">
        <v>55</v>
      </c>
      <c r="C76" s="64" t="s">
        <v>66</v>
      </c>
      <c r="D76" s="76">
        <f>COUNTIFS('TOTAL SUSPEK'!$F:$F,"Tambirejo")</f>
        <v>0</v>
      </c>
      <c r="E76" s="22"/>
      <c r="F76" s="23"/>
      <c r="G76" s="23"/>
      <c r="H76" s="23"/>
      <c r="I76" s="23"/>
      <c r="J76" s="23"/>
      <c r="K76" s="24"/>
      <c r="L76" s="24"/>
      <c r="M76" s="24"/>
      <c r="P76" s="42">
        <f t="shared" si="1"/>
        <v>0</v>
      </c>
      <c r="Q76" s="8"/>
    </row>
    <row r="77" spans="1:17" x14ac:dyDescent="0.25">
      <c r="A77" s="61"/>
      <c r="B77" s="62" t="s">
        <v>55</v>
      </c>
      <c r="C77" s="64" t="s">
        <v>67</v>
      </c>
      <c r="D77" s="76">
        <f>COUNTIFS('TOTAL SUSPEK'!$F:$F,"Mlatiharjo")</f>
        <v>0</v>
      </c>
      <c r="E77" s="22"/>
      <c r="F77" s="23"/>
      <c r="G77" s="23"/>
      <c r="H77" s="23"/>
      <c r="I77" s="23"/>
      <c r="J77" s="23"/>
      <c r="K77" s="24"/>
      <c r="L77" s="24"/>
      <c r="M77" s="24"/>
      <c r="P77" s="42">
        <f t="shared" si="1"/>
        <v>0</v>
      </c>
      <c r="Q77" s="8"/>
    </row>
    <row r="78" spans="1:17" x14ac:dyDescent="0.25">
      <c r="A78" s="61"/>
      <c r="B78" s="62" t="s">
        <v>55</v>
      </c>
      <c r="C78" s="64" t="s">
        <v>68</v>
      </c>
      <c r="D78" s="76">
        <f>COUNTIFS('TOTAL SUSPEK'!$F:$F,"Mojosimo")</f>
        <v>0</v>
      </c>
      <c r="E78" s="22"/>
      <c r="F78" s="23"/>
      <c r="G78" s="23"/>
      <c r="H78" s="23"/>
      <c r="I78" s="23"/>
      <c r="J78" s="23"/>
      <c r="K78" s="24"/>
      <c r="L78" s="24"/>
      <c r="M78" s="24"/>
      <c r="P78" s="42">
        <f t="shared" si="1"/>
        <v>0</v>
      </c>
      <c r="Q78" s="8"/>
    </row>
    <row r="79" spans="1:17" x14ac:dyDescent="0.25">
      <c r="A79" s="61"/>
      <c r="B79" s="62" t="s">
        <v>55</v>
      </c>
      <c r="C79" s="64" t="s">
        <v>69</v>
      </c>
      <c r="D79" s="76">
        <f>COUNTIFS('TOTAL SUSPEK'!$F:$F,"Medini")</f>
        <v>0</v>
      </c>
      <c r="E79" s="22"/>
      <c r="F79" s="23"/>
      <c r="G79" s="23"/>
      <c r="H79" s="23"/>
      <c r="I79" s="23"/>
      <c r="J79" s="23"/>
      <c r="K79" s="24"/>
      <c r="L79" s="24"/>
      <c r="M79" s="24"/>
      <c r="P79" s="42">
        <f t="shared" si="1"/>
        <v>0</v>
      </c>
      <c r="Q79" s="8"/>
    </row>
    <row r="80" spans="1:17" x14ac:dyDescent="0.25">
      <c r="A80" s="61"/>
      <c r="B80" s="62" t="s">
        <v>55</v>
      </c>
      <c r="C80" s="64" t="s">
        <v>70</v>
      </c>
      <c r="D80" s="76">
        <f>COUNTIFS('TOTAL SUSPEK'!$F:$F,"Wilalung")</f>
        <v>0</v>
      </c>
      <c r="E80" s="22"/>
      <c r="F80" s="23"/>
      <c r="G80" s="23"/>
      <c r="H80" s="23"/>
      <c r="I80" s="23"/>
      <c r="J80" s="23"/>
      <c r="K80" s="24"/>
      <c r="L80" s="24"/>
      <c r="M80" s="24"/>
      <c r="P80" s="42">
        <f t="shared" si="1"/>
        <v>0</v>
      </c>
      <c r="Q80" s="8"/>
    </row>
    <row r="81" spans="1:17" x14ac:dyDescent="0.25">
      <c r="A81" s="61"/>
      <c r="B81" s="62" t="s">
        <v>55</v>
      </c>
      <c r="C81" s="64" t="s">
        <v>71</v>
      </c>
      <c r="D81" s="76">
        <f>COUNTIFS('TOTAL SUSPEK'!$F:$F,"Tanjunganyar")</f>
        <v>0</v>
      </c>
      <c r="E81" s="22"/>
      <c r="F81" s="23"/>
      <c r="G81" s="23"/>
      <c r="H81" s="23"/>
      <c r="I81" s="23"/>
      <c r="J81" s="23"/>
      <c r="K81" s="24"/>
      <c r="L81" s="24"/>
      <c r="M81" s="24"/>
      <c r="P81" s="42">
        <f t="shared" si="1"/>
        <v>0</v>
      </c>
      <c r="Q81" s="8"/>
    </row>
    <row r="82" spans="1:17" x14ac:dyDescent="0.25">
      <c r="A82" s="61"/>
      <c r="B82" s="62" t="s">
        <v>55</v>
      </c>
      <c r="C82" s="64" t="s">
        <v>72</v>
      </c>
      <c r="D82" s="76">
        <f>COUNTIFS('TOTAL SUSPEK'!$F:$F,"Mlekang")</f>
        <v>0</v>
      </c>
      <c r="E82" s="22"/>
      <c r="F82" s="23"/>
      <c r="G82" s="23"/>
      <c r="H82" s="23"/>
      <c r="I82" s="23"/>
      <c r="J82" s="23"/>
      <c r="K82" s="24"/>
      <c r="L82" s="24"/>
      <c r="M82" s="24"/>
      <c r="P82" s="42">
        <f t="shared" si="1"/>
        <v>0</v>
      </c>
      <c r="Q82" s="8"/>
    </row>
    <row r="83" spans="1:17" ht="15" customHeight="1" x14ac:dyDescent="0.25">
      <c r="A83" s="61">
        <v>5</v>
      </c>
      <c r="B83" s="18" t="s">
        <v>73</v>
      </c>
      <c r="C83" s="43" t="s">
        <v>74</v>
      </c>
      <c r="D83" s="76">
        <f>COUNTIFS('TOTAL SUSPEK'!$F:$F,"Cangkring B")</f>
        <v>0</v>
      </c>
      <c r="E83" s="22" t="e">
        <f>SUM(#REF!)</f>
        <v>#REF!</v>
      </c>
      <c r="F83" s="22" t="e">
        <f>SUM(#REF!)</f>
        <v>#REF!</v>
      </c>
      <c r="G83" s="22" t="e">
        <f>SUM(#REF!)</f>
        <v>#REF!</v>
      </c>
      <c r="H83" s="22" t="e">
        <f>SUM(#REF!)</f>
        <v>#REF!</v>
      </c>
      <c r="I83" s="22" t="e">
        <f>SUM(#REF!)</f>
        <v>#REF!</v>
      </c>
      <c r="J83" s="22" t="e">
        <f>SUM(#REF!)</f>
        <v>#REF!</v>
      </c>
      <c r="K83" s="22" t="e">
        <f>SUM(#REF!)</f>
        <v>#REF!</v>
      </c>
      <c r="L83" s="22">
        <f>SUM(D83:D99)</f>
        <v>0</v>
      </c>
      <c r="M83" s="22" t="e">
        <f>SUM(#REF!)</f>
        <v>#REF!</v>
      </c>
      <c r="P83" s="42">
        <f t="shared" si="1"/>
        <v>0</v>
      </c>
      <c r="Q83" s="142">
        <f>SUM(P83:P99)</f>
        <v>0</v>
      </c>
    </row>
    <row r="84" spans="1:17" ht="15" customHeight="1" x14ac:dyDescent="0.25">
      <c r="A84" s="61"/>
      <c r="B84" s="18" t="s">
        <v>73</v>
      </c>
      <c r="C84" s="43" t="s">
        <v>75</v>
      </c>
      <c r="D84" s="76">
        <f>COUNTIFS('TOTAL SUSPEK'!$F:$F,"Undaan Lor")</f>
        <v>0</v>
      </c>
      <c r="E84" s="22"/>
      <c r="F84" s="23"/>
      <c r="G84" s="23"/>
      <c r="H84" s="23"/>
      <c r="I84" s="23"/>
      <c r="J84" s="23"/>
      <c r="K84" s="24"/>
      <c r="L84" s="24"/>
      <c r="M84" s="24"/>
      <c r="P84" s="42">
        <f t="shared" si="1"/>
        <v>0</v>
      </c>
      <c r="Q84" s="8"/>
    </row>
    <row r="85" spans="1:17" ht="15" customHeight="1" x14ac:dyDescent="0.25">
      <c r="A85" s="61"/>
      <c r="B85" s="18" t="s">
        <v>73</v>
      </c>
      <c r="C85" s="43" t="s">
        <v>76</v>
      </c>
      <c r="D85" s="76">
        <f>COUNTIFS('TOTAL SUSPEK'!$F:$F,"Undaan Kidul")</f>
        <v>0</v>
      </c>
      <c r="E85" s="22"/>
      <c r="F85" s="23"/>
      <c r="G85" s="23"/>
      <c r="H85" s="23"/>
      <c r="I85" s="23"/>
      <c r="J85" s="23"/>
      <c r="K85" s="24"/>
      <c r="L85" s="24"/>
      <c r="M85" s="24"/>
      <c r="P85" s="42">
        <f t="shared" si="1"/>
        <v>0</v>
      </c>
      <c r="Q85" s="8"/>
    </row>
    <row r="86" spans="1:17" ht="15" customHeight="1" x14ac:dyDescent="0.25">
      <c r="A86" s="61"/>
      <c r="B86" s="18" t="s">
        <v>73</v>
      </c>
      <c r="C86" s="43" t="s">
        <v>77</v>
      </c>
      <c r="D86" s="76">
        <f>COUNTIFS('TOTAL SUSPEK'!$F:$F,"Ketanjung")</f>
        <v>0</v>
      </c>
      <c r="E86" s="22"/>
      <c r="F86" s="23"/>
      <c r="G86" s="23"/>
      <c r="H86" s="23"/>
      <c r="I86" s="23"/>
      <c r="J86" s="23"/>
      <c r="K86" s="24"/>
      <c r="L86" s="24"/>
      <c r="M86" s="24"/>
      <c r="P86" s="42">
        <f t="shared" si="1"/>
        <v>0</v>
      </c>
      <c r="Q86" s="8"/>
    </row>
    <row r="87" spans="1:17" ht="15" customHeight="1" x14ac:dyDescent="0.25">
      <c r="A87" s="61"/>
      <c r="B87" s="18" t="s">
        <v>73</v>
      </c>
      <c r="C87" s="43" t="s">
        <v>280</v>
      </c>
      <c r="D87" s="76">
        <f>COUNTIFS('TOTAL SUSPEK'!$F:$F,"Cangkring Rembang")</f>
        <v>0</v>
      </c>
      <c r="E87" s="22"/>
      <c r="F87" s="23"/>
      <c r="G87" s="23"/>
      <c r="H87" s="23"/>
      <c r="I87" s="23"/>
      <c r="J87" s="23"/>
      <c r="K87" s="24"/>
      <c r="L87" s="24"/>
      <c r="M87" s="24"/>
      <c r="P87" s="42">
        <f t="shared" si="1"/>
        <v>0</v>
      </c>
      <c r="Q87" s="8"/>
    </row>
    <row r="88" spans="1:17" ht="15" customHeight="1" x14ac:dyDescent="0.25">
      <c r="A88" s="61"/>
      <c r="B88" s="18" t="s">
        <v>73</v>
      </c>
      <c r="C88" s="43" t="s">
        <v>79</v>
      </c>
      <c r="D88" s="76">
        <f>COUNTIFS('TOTAL SUSPEK'!$F:$F,"Tuwang")</f>
        <v>0</v>
      </c>
      <c r="E88" s="22"/>
      <c r="F88" s="23"/>
      <c r="G88" s="23"/>
      <c r="H88" s="23"/>
      <c r="I88" s="23"/>
      <c r="J88" s="23"/>
      <c r="K88" s="24"/>
      <c r="L88" s="24"/>
      <c r="M88" s="24"/>
      <c r="P88" s="42">
        <f t="shared" si="1"/>
        <v>0</v>
      </c>
      <c r="Q88" s="8"/>
    </row>
    <row r="89" spans="1:17" ht="15" customHeight="1" x14ac:dyDescent="0.25">
      <c r="A89" s="61"/>
      <c r="B89" s="18" t="s">
        <v>73</v>
      </c>
      <c r="C89" s="43" t="s">
        <v>80</v>
      </c>
      <c r="D89" s="76">
        <f>COUNTIFS('TOTAL SUSPEK'!$F:$F,"Wonorejo",'TOTAL SUSPEK'!$E:$E,"karanganyar")</f>
        <v>0</v>
      </c>
      <c r="E89" s="22"/>
      <c r="F89" s="23"/>
      <c r="G89" s="23"/>
      <c r="H89" s="23"/>
      <c r="I89" s="23"/>
      <c r="J89" s="23"/>
      <c r="K89" s="24"/>
      <c r="L89" s="24"/>
      <c r="M89" s="24"/>
      <c r="P89" s="42">
        <f t="shared" si="1"/>
        <v>0</v>
      </c>
      <c r="Q89" s="8"/>
    </row>
    <row r="90" spans="1:17" ht="15" customHeight="1" x14ac:dyDescent="0.25">
      <c r="A90" s="61"/>
      <c r="B90" s="18" t="s">
        <v>73</v>
      </c>
      <c r="C90" s="43" t="s">
        <v>281</v>
      </c>
      <c r="D90" s="76">
        <f>COUNTIFS('TOTAL SUSPEK'!$F:$F,"Ngemplik Wetan")</f>
        <v>0</v>
      </c>
      <c r="E90" s="22"/>
      <c r="F90" s="23"/>
      <c r="G90" s="23"/>
      <c r="H90" s="23"/>
      <c r="I90" s="23"/>
      <c r="J90" s="23"/>
      <c r="K90" s="24"/>
      <c r="L90" s="24"/>
      <c r="M90" s="24"/>
      <c r="P90" s="42">
        <f t="shared" si="1"/>
        <v>0</v>
      </c>
      <c r="Q90" s="8"/>
    </row>
    <row r="91" spans="1:17" ht="15" customHeight="1" x14ac:dyDescent="0.25">
      <c r="A91" s="61"/>
      <c r="B91" s="18" t="s">
        <v>73</v>
      </c>
      <c r="C91" s="43" t="s">
        <v>73</v>
      </c>
      <c r="D91" s="76">
        <f>COUNTIFS('TOTAL SUSPEK'!$F:$F,"Karanganyar")</f>
        <v>0</v>
      </c>
      <c r="E91" s="22"/>
      <c r="F91" s="23"/>
      <c r="G91" s="23"/>
      <c r="H91" s="23"/>
      <c r="I91" s="23"/>
      <c r="J91" s="23"/>
      <c r="K91" s="24"/>
      <c r="L91" s="24"/>
      <c r="M91" s="24"/>
      <c r="P91" s="42">
        <f t="shared" si="1"/>
        <v>0</v>
      </c>
      <c r="Q91" s="8"/>
    </row>
    <row r="92" spans="1:17" ht="15" customHeight="1" x14ac:dyDescent="0.25">
      <c r="A92" s="61"/>
      <c r="B92" s="18" t="s">
        <v>73</v>
      </c>
      <c r="C92" s="43" t="s">
        <v>81</v>
      </c>
      <c r="D92" s="76">
        <f>COUNTIFS('TOTAL SUSPEK'!$F:$F,"Ngaluran")</f>
        <v>0</v>
      </c>
      <c r="E92" s="22"/>
      <c r="F92" s="23"/>
      <c r="G92" s="23"/>
      <c r="H92" s="23"/>
      <c r="I92" s="23"/>
      <c r="J92" s="23"/>
      <c r="K92" s="24"/>
      <c r="L92" s="24"/>
      <c r="M92" s="24"/>
      <c r="P92" s="42">
        <f t="shared" si="1"/>
        <v>0</v>
      </c>
      <c r="Q92" s="8"/>
    </row>
    <row r="93" spans="1:17" ht="15" customHeight="1" x14ac:dyDescent="0.25">
      <c r="A93" s="61"/>
      <c r="B93" s="18" t="s">
        <v>73</v>
      </c>
      <c r="C93" s="43" t="s">
        <v>82</v>
      </c>
      <c r="D93" s="76">
        <f>COUNTIFS('TOTAL SUSPEK'!$F:$F,"Kedungwaru Kidul")</f>
        <v>0</v>
      </c>
      <c r="E93" s="22"/>
      <c r="F93" s="23"/>
      <c r="G93" s="23"/>
      <c r="H93" s="23"/>
      <c r="I93" s="23"/>
      <c r="J93" s="23"/>
      <c r="K93" s="24"/>
      <c r="L93" s="24"/>
      <c r="M93" s="24"/>
      <c r="P93" s="42">
        <f t="shared" si="1"/>
        <v>0</v>
      </c>
      <c r="Q93" s="8"/>
    </row>
    <row r="94" spans="1:17" ht="15" customHeight="1" x14ac:dyDescent="0.25">
      <c r="A94" s="61"/>
      <c r="B94" s="18" t="s">
        <v>73</v>
      </c>
      <c r="C94" s="43" t="s">
        <v>83</v>
      </c>
      <c r="D94" s="76">
        <f>COUNTIFS('TOTAL SUSPEK'!$F:$F,"Kedungwaru Lor")</f>
        <v>0</v>
      </c>
      <c r="E94" s="22"/>
      <c r="F94" s="23"/>
      <c r="G94" s="23"/>
      <c r="H94" s="23"/>
      <c r="I94" s="23"/>
      <c r="J94" s="23"/>
      <c r="K94" s="24"/>
      <c r="L94" s="24"/>
      <c r="M94" s="24"/>
      <c r="P94" s="42">
        <f t="shared" si="1"/>
        <v>0</v>
      </c>
      <c r="Q94" s="8"/>
    </row>
    <row r="95" spans="1:17" ht="15" customHeight="1" x14ac:dyDescent="0.25">
      <c r="A95" s="61"/>
      <c r="B95" s="18" t="s">
        <v>73</v>
      </c>
      <c r="C95" s="43" t="s">
        <v>84</v>
      </c>
      <c r="D95" s="76">
        <f>COUNTIFS('TOTAL SUSPEK'!$F:$F,"Tugu Lor")</f>
        <v>0</v>
      </c>
      <c r="E95" s="22"/>
      <c r="F95" s="23"/>
      <c r="G95" s="23"/>
      <c r="H95" s="23"/>
      <c r="I95" s="23"/>
      <c r="J95" s="23"/>
      <c r="K95" s="24"/>
      <c r="L95" s="24"/>
      <c r="M95" s="24"/>
      <c r="P95" s="42">
        <f t="shared" si="1"/>
        <v>0</v>
      </c>
      <c r="Q95" s="8"/>
    </row>
    <row r="96" spans="1:17" ht="15" customHeight="1" x14ac:dyDescent="0.25">
      <c r="A96" s="61"/>
      <c r="B96" s="18" t="s">
        <v>73</v>
      </c>
      <c r="C96" s="43" t="s">
        <v>295</v>
      </c>
      <c r="D96" s="76">
        <f>COUNTIFS('TOTAL SUSPEK'!$F:$F,"Kotakan")</f>
        <v>0</v>
      </c>
      <c r="E96" s="22"/>
      <c r="F96" s="23"/>
      <c r="G96" s="23"/>
      <c r="H96" s="23"/>
      <c r="I96" s="23"/>
      <c r="J96" s="23"/>
      <c r="K96" s="24"/>
      <c r="L96" s="24"/>
      <c r="M96" s="24"/>
      <c r="P96" s="42">
        <f t="shared" si="1"/>
        <v>0</v>
      </c>
      <c r="Q96" s="8"/>
    </row>
    <row r="97" spans="1:17" ht="15" customHeight="1" x14ac:dyDescent="0.25">
      <c r="A97" s="61"/>
      <c r="B97" s="18" t="s">
        <v>73</v>
      </c>
      <c r="C97" s="43" t="s">
        <v>85</v>
      </c>
      <c r="D97" s="76">
        <f>COUNTIFS('TOTAL SUSPEK'!$F:$F,"Wonoketingal")</f>
        <v>0</v>
      </c>
      <c r="E97" s="22"/>
      <c r="F97" s="23"/>
      <c r="G97" s="23"/>
      <c r="H97" s="23"/>
      <c r="I97" s="23"/>
      <c r="J97" s="23"/>
      <c r="K97" s="24"/>
      <c r="L97" s="24"/>
      <c r="M97" s="24"/>
      <c r="P97" s="42">
        <f t="shared" si="1"/>
        <v>0</v>
      </c>
      <c r="Q97" s="8"/>
    </row>
    <row r="98" spans="1:17" ht="15" customHeight="1" x14ac:dyDescent="0.25">
      <c r="A98" s="61"/>
      <c r="B98" s="18" t="s">
        <v>73</v>
      </c>
      <c r="C98" s="43" t="s">
        <v>86</v>
      </c>
      <c r="D98" s="76">
        <f>COUNTIFS('TOTAL SUSPEK'!$F:$F,"Jatirejo")</f>
        <v>0</v>
      </c>
      <c r="E98" s="22"/>
      <c r="F98" s="23"/>
      <c r="G98" s="23"/>
      <c r="H98" s="23"/>
      <c r="I98" s="23"/>
      <c r="J98" s="23"/>
      <c r="K98" s="24"/>
      <c r="L98" s="24"/>
      <c r="M98" s="24"/>
      <c r="P98" s="42">
        <f t="shared" si="1"/>
        <v>0</v>
      </c>
      <c r="Q98" s="8"/>
    </row>
    <row r="99" spans="1:17" ht="15" customHeight="1" x14ac:dyDescent="0.25">
      <c r="A99" s="61"/>
      <c r="B99" s="18" t="s">
        <v>73</v>
      </c>
      <c r="C99" s="43" t="s">
        <v>9</v>
      </c>
      <c r="D99" s="76">
        <f>COUNTIFS('TOTAL SUSPEK'!$F:$F,"Bandungrejo",'TOTAL SUSPEK'!$E:$E,"Karanganyar")</f>
        <v>0</v>
      </c>
      <c r="E99" s="22"/>
      <c r="F99" s="23"/>
      <c r="G99" s="23"/>
      <c r="H99" s="23"/>
      <c r="I99" s="23"/>
      <c r="J99" s="23"/>
      <c r="K99" s="24"/>
      <c r="L99" s="24"/>
      <c r="M99" s="24"/>
      <c r="P99" s="42">
        <f t="shared" si="1"/>
        <v>0</v>
      </c>
      <c r="Q99" s="8"/>
    </row>
    <row r="100" spans="1:17" ht="15" customHeight="1" x14ac:dyDescent="0.25">
      <c r="A100" s="61">
        <v>6</v>
      </c>
      <c r="B100" s="18" t="s">
        <v>87</v>
      </c>
      <c r="C100" s="43" t="s">
        <v>88</v>
      </c>
      <c r="D100" s="76">
        <f>COUNTIFS('TOTAL SUSPEK'!$F:$F,"Mijen",'TOTAL SUSPEK'!$E:$E,"mijen")</f>
        <v>0</v>
      </c>
      <c r="E100" s="22" t="e">
        <f>SUM(#REF!)</f>
        <v>#REF!</v>
      </c>
      <c r="F100" s="22" t="e">
        <f>SUM(#REF!)</f>
        <v>#REF!</v>
      </c>
      <c r="G100" s="22" t="e">
        <f>SUM(#REF!)</f>
        <v>#REF!</v>
      </c>
      <c r="H100" s="22" t="e">
        <f>SUM(#REF!)</f>
        <v>#REF!</v>
      </c>
      <c r="I100" s="22" t="e">
        <f>SUM(#REF!)</f>
        <v>#REF!</v>
      </c>
      <c r="J100" s="22" t="e">
        <f>SUM(#REF!)</f>
        <v>#REF!</v>
      </c>
      <c r="K100" s="22" t="e">
        <f>SUM(#REF!)</f>
        <v>#REF!</v>
      </c>
      <c r="L100" s="22">
        <f>SUM(D100:D114)</f>
        <v>0</v>
      </c>
      <c r="M100" s="22" t="e">
        <f>SUM(#REF!)</f>
        <v>#REF!</v>
      </c>
      <c r="P100" s="42">
        <f t="shared" si="1"/>
        <v>0</v>
      </c>
      <c r="Q100" s="142">
        <f>SUM(P100:P114)</f>
        <v>0</v>
      </c>
    </row>
    <row r="101" spans="1:17" ht="15" customHeight="1" x14ac:dyDescent="0.25">
      <c r="A101" s="61"/>
      <c r="B101" s="18" t="s">
        <v>87</v>
      </c>
      <c r="C101" s="43" t="s">
        <v>89</v>
      </c>
      <c r="D101" s="76">
        <f>COUNTIFS('TOTAL SUSPEK'!$F:$F,"Geneng")</f>
        <v>0</v>
      </c>
      <c r="E101" s="22"/>
      <c r="F101" s="23"/>
      <c r="G101" s="23"/>
      <c r="H101" s="23"/>
      <c r="I101" s="23"/>
      <c r="J101" s="23"/>
      <c r="K101" s="24"/>
      <c r="L101" s="24"/>
      <c r="M101" s="24"/>
      <c r="P101" s="42">
        <f t="shared" si="1"/>
        <v>0</v>
      </c>
      <c r="Q101" s="8"/>
    </row>
    <row r="102" spans="1:17" ht="15" customHeight="1" x14ac:dyDescent="0.25">
      <c r="A102" s="61"/>
      <c r="B102" s="18" t="s">
        <v>87</v>
      </c>
      <c r="C102" s="43" t="s">
        <v>90</v>
      </c>
      <c r="D102" s="76">
        <f>COUNTIFS('TOTAL SUSPEK'!$F:$F,"Tanggul")</f>
        <v>0</v>
      </c>
      <c r="E102" s="22"/>
      <c r="F102" s="23"/>
      <c r="G102" s="23"/>
      <c r="H102" s="23"/>
      <c r="I102" s="23"/>
      <c r="J102" s="23"/>
      <c r="K102" s="24"/>
      <c r="L102" s="24"/>
      <c r="M102" s="24"/>
      <c r="P102" s="42">
        <f t="shared" si="1"/>
        <v>0</v>
      </c>
      <c r="Q102" s="8"/>
    </row>
    <row r="103" spans="1:17" ht="15" customHeight="1" x14ac:dyDescent="0.25">
      <c r="A103" s="61"/>
      <c r="B103" s="18" t="s">
        <v>87</v>
      </c>
      <c r="C103" s="43" t="s">
        <v>91</v>
      </c>
      <c r="D103" s="76">
        <f>COUNTIFS('TOTAL SUSPEK'!$F:$F,"Bantengmati")</f>
        <v>0</v>
      </c>
      <c r="E103" s="22"/>
      <c r="F103" s="23"/>
      <c r="G103" s="23"/>
      <c r="H103" s="23"/>
      <c r="I103" s="23"/>
      <c r="J103" s="23"/>
      <c r="K103" s="24"/>
      <c r="L103" s="24"/>
      <c r="M103" s="24"/>
      <c r="P103" s="42">
        <f t="shared" si="1"/>
        <v>0</v>
      </c>
      <c r="Q103" s="8"/>
    </row>
    <row r="104" spans="1:17" ht="15" customHeight="1" x14ac:dyDescent="0.25">
      <c r="A104" s="61"/>
      <c r="B104" s="18" t="s">
        <v>87</v>
      </c>
      <c r="C104" s="43" t="s">
        <v>92</v>
      </c>
      <c r="D104" s="76">
        <f>COUNTIFS('TOTAL SUSPEK'!$F:$F,"Mlaten")</f>
        <v>0</v>
      </c>
      <c r="E104" s="22"/>
      <c r="F104" s="23"/>
      <c r="G104" s="23"/>
      <c r="H104" s="23"/>
      <c r="I104" s="23"/>
      <c r="J104" s="23"/>
      <c r="K104" s="24"/>
      <c r="L104" s="24"/>
      <c r="M104" s="24"/>
      <c r="P104" s="42">
        <f t="shared" si="1"/>
        <v>0</v>
      </c>
      <c r="Q104" s="8"/>
    </row>
    <row r="105" spans="1:17" ht="15" customHeight="1" x14ac:dyDescent="0.25">
      <c r="A105" s="61"/>
      <c r="B105" s="18" t="s">
        <v>87</v>
      </c>
      <c r="C105" s="43" t="s">
        <v>93</v>
      </c>
      <c r="D105" s="76">
        <f>COUNTIFS('TOTAL SUSPEK'!$F:$F,"Bermi")</f>
        <v>0</v>
      </c>
      <c r="E105" s="22"/>
      <c r="F105" s="23"/>
      <c r="G105" s="23"/>
      <c r="H105" s="23"/>
      <c r="I105" s="23"/>
      <c r="J105" s="23"/>
      <c r="K105" s="24"/>
      <c r="L105" s="24"/>
      <c r="M105" s="24"/>
      <c r="P105" s="42">
        <f t="shared" si="1"/>
        <v>0</v>
      </c>
      <c r="Q105" s="8"/>
    </row>
    <row r="106" spans="1:17" ht="15" customHeight="1" x14ac:dyDescent="0.25">
      <c r="A106" s="61"/>
      <c r="B106" s="18" t="s">
        <v>87</v>
      </c>
      <c r="C106" s="43" t="s">
        <v>94</v>
      </c>
      <c r="D106" s="76">
        <f>COUNTIFS('TOTAL SUSPEK'!$F:$F,"Gempolsongo")</f>
        <v>0</v>
      </c>
      <c r="E106" s="22"/>
      <c r="F106" s="23"/>
      <c r="G106" s="23"/>
      <c r="H106" s="23"/>
      <c r="I106" s="23"/>
      <c r="J106" s="23"/>
      <c r="K106" s="24"/>
      <c r="L106" s="24"/>
      <c r="M106" s="24"/>
      <c r="P106" s="42">
        <f t="shared" si="1"/>
        <v>0</v>
      </c>
      <c r="Q106" s="8"/>
    </row>
    <row r="107" spans="1:17" ht="15" customHeight="1" x14ac:dyDescent="0.25">
      <c r="A107" s="61"/>
      <c r="B107" s="18" t="s">
        <v>87</v>
      </c>
      <c r="C107" s="43" t="s">
        <v>95</v>
      </c>
      <c r="D107" s="76">
        <f>COUNTIFS('TOTAL SUSPEK'!$F:$F,"Ngelo wetan")</f>
        <v>0</v>
      </c>
      <c r="E107" s="22"/>
      <c r="F107" s="23"/>
      <c r="G107" s="23"/>
      <c r="H107" s="23"/>
      <c r="I107" s="23"/>
      <c r="J107" s="23"/>
      <c r="K107" s="24"/>
      <c r="L107" s="24"/>
      <c r="M107" s="24"/>
      <c r="P107" s="42">
        <f t="shared" si="1"/>
        <v>0</v>
      </c>
      <c r="Q107" s="8"/>
    </row>
    <row r="108" spans="1:17" ht="15" customHeight="1" x14ac:dyDescent="0.25">
      <c r="A108" s="61"/>
      <c r="B108" s="18" t="s">
        <v>87</v>
      </c>
      <c r="C108" s="43" t="s">
        <v>96</v>
      </c>
      <c r="D108" s="76">
        <f>COUNTIFS('TOTAL SUSPEK'!$F:$F,"Bakung")</f>
        <v>0</v>
      </c>
      <c r="E108" s="22"/>
      <c r="F108" s="23"/>
      <c r="G108" s="23"/>
      <c r="H108" s="23"/>
      <c r="I108" s="23"/>
      <c r="J108" s="23"/>
      <c r="K108" s="24"/>
      <c r="L108" s="24"/>
      <c r="M108" s="24"/>
      <c r="P108" s="42">
        <f t="shared" si="1"/>
        <v>0</v>
      </c>
      <c r="Q108" s="8"/>
    </row>
    <row r="109" spans="1:17" ht="15" customHeight="1" x14ac:dyDescent="0.25">
      <c r="A109" s="61"/>
      <c r="B109" s="18" t="s">
        <v>87</v>
      </c>
      <c r="C109" s="43" t="s">
        <v>97</v>
      </c>
      <c r="D109" s="76">
        <f>COUNTIFS('TOTAL SUSPEK'!$F:$F,"Pasir")</f>
        <v>0</v>
      </c>
      <c r="E109" s="22"/>
      <c r="F109" s="23"/>
      <c r="G109" s="23"/>
      <c r="H109" s="23"/>
      <c r="I109" s="23"/>
      <c r="J109" s="23"/>
      <c r="K109" s="24"/>
      <c r="L109" s="24"/>
      <c r="M109" s="24"/>
      <c r="P109" s="42">
        <f t="shared" si="1"/>
        <v>0</v>
      </c>
      <c r="Q109" s="8"/>
    </row>
    <row r="110" spans="1:17" ht="15" customHeight="1" x14ac:dyDescent="0.25">
      <c r="A110" s="61"/>
      <c r="B110" s="18" t="s">
        <v>87</v>
      </c>
      <c r="C110" s="43" t="s">
        <v>98</v>
      </c>
      <c r="D110" s="76">
        <f>COUNTIFS('TOTAL SUSPEK'!$F:$F,"Jleper")</f>
        <v>0</v>
      </c>
      <c r="E110" s="22"/>
      <c r="F110" s="23"/>
      <c r="G110" s="23"/>
      <c r="H110" s="23"/>
      <c r="I110" s="23"/>
      <c r="J110" s="23"/>
      <c r="K110" s="24"/>
      <c r="L110" s="24"/>
      <c r="M110" s="24"/>
      <c r="P110" s="42">
        <f t="shared" si="1"/>
        <v>0</v>
      </c>
      <c r="Q110" s="8"/>
    </row>
    <row r="111" spans="1:17" ht="15" customHeight="1" x14ac:dyDescent="0.25">
      <c r="A111" s="61"/>
      <c r="B111" s="18" t="s">
        <v>87</v>
      </c>
      <c r="C111" s="43" t="s">
        <v>26</v>
      </c>
      <c r="D111" s="76">
        <f>COUNTIFS('TOTAL SUSPEK'!$F:$F,"Rejosari",'TOTAL SUSPEK'!$E:$E,"mijen")</f>
        <v>0</v>
      </c>
      <c r="E111" s="22"/>
      <c r="F111" s="23"/>
      <c r="G111" s="23"/>
      <c r="H111" s="23"/>
      <c r="I111" s="23"/>
      <c r="J111" s="23"/>
      <c r="K111" s="24"/>
      <c r="L111" s="24"/>
      <c r="M111" s="24"/>
      <c r="P111" s="42">
        <f t="shared" si="1"/>
        <v>0</v>
      </c>
      <c r="Q111" s="8"/>
    </row>
    <row r="112" spans="1:17" ht="15" customHeight="1" x14ac:dyDescent="0.25">
      <c r="A112" s="61"/>
      <c r="B112" s="18" t="s">
        <v>87</v>
      </c>
      <c r="C112" s="43" t="s">
        <v>99</v>
      </c>
      <c r="D112" s="76">
        <f>COUNTIFS('TOTAL SUSPEK'!$F:$F,"Ngegot")</f>
        <v>0</v>
      </c>
      <c r="E112" s="22"/>
      <c r="F112" s="23"/>
      <c r="G112" s="23"/>
      <c r="H112" s="23"/>
      <c r="I112" s="23"/>
      <c r="J112" s="23"/>
      <c r="K112" s="24"/>
      <c r="L112" s="24"/>
      <c r="M112" s="24"/>
      <c r="P112" s="42">
        <f t="shared" si="1"/>
        <v>0</v>
      </c>
      <c r="Q112" s="8"/>
    </row>
    <row r="113" spans="1:17" ht="15" customHeight="1" x14ac:dyDescent="0.25">
      <c r="A113" s="61"/>
      <c r="B113" s="18" t="s">
        <v>87</v>
      </c>
      <c r="C113" s="43" t="s">
        <v>100</v>
      </c>
      <c r="D113" s="76">
        <f>COUNTIFS('TOTAL SUSPEK'!$F:$F,"Pecuk")</f>
        <v>0</v>
      </c>
      <c r="E113" s="22"/>
      <c r="F113" s="23"/>
      <c r="G113" s="23"/>
      <c r="H113" s="23"/>
      <c r="I113" s="23"/>
      <c r="J113" s="23"/>
      <c r="K113" s="24"/>
      <c r="L113" s="24"/>
      <c r="M113" s="24"/>
      <c r="P113" s="42">
        <f t="shared" si="1"/>
        <v>0</v>
      </c>
      <c r="Q113" s="8"/>
    </row>
    <row r="114" spans="1:17" ht="15" customHeight="1" x14ac:dyDescent="0.25">
      <c r="A114" s="61"/>
      <c r="B114" s="18" t="s">
        <v>87</v>
      </c>
      <c r="C114" s="43" t="s">
        <v>101</v>
      </c>
      <c r="D114" s="76">
        <f>COUNTIFS('TOTAL SUSPEK'!$F:$F,"Ngelo Kulon")</f>
        <v>0</v>
      </c>
      <c r="E114" s="22"/>
      <c r="F114" s="23"/>
      <c r="G114" s="23"/>
      <c r="H114" s="23"/>
      <c r="I114" s="23"/>
      <c r="J114" s="23"/>
      <c r="K114" s="24"/>
      <c r="L114" s="24"/>
      <c r="M114" s="24"/>
      <c r="P114" s="42">
        <f t="shared" si="1"/>
        <v>0</v>
      </c>
      <c r="Q114" s="8"/>
    </row>
    <row r="115" spans="1:17" x14ac:dyDescent="0.25">
      <c r="A115" s="61">
        <v>7</v>
      </c>
      <c r="B115" s="18" t="s">
        <v>102</v>
      </c>
      <c r="C115" s="43" t="s">
        <v>103</v>
      </c>
      <c r="D115" s="76">
        <f>COUNTIFS('TOTAL SUSPEK'!$F:$F,"Betokan")</f>
        <v>0</v>
      </c>
      <c r="E115" s="22" t="e">
        <f>SUM(#REF!)</f>
        <v>#REF!</v>
      </c>
      <c r="F115" s="22" t="e">
        <f>SUM(#REF!)</f>
        <v>#REF!</v>
      </c>
      <c r="G115" s="22" t="e">
        <f>SUM(#REF!)</f>
        <v>#REF!</v>
      </c>
      <c r="H115" s="22" t="e">
        <f>SUM(#REF!)</f>
        <v>#REF!</v>
      </c>
      <c r="I115" s="22" t="e">
        <f>SUM(#REF!)</f>
        <v>#REF!</v>
      </c>
      <c r="J115" s="22" t="e">
        <f>SUM(#REF!)</f>
        <v>#REF!</v>
      </c>
      <c r="K115" s="22" t="e">
        <f>SUM(#REF!)</f>
        <v>#REF!</v>
      </c>
      <c r="L115" s="22">
        <f>SUM(D115:D133)</f>
        <v>0</v>
      </c>
      <c r="M115" s="22" t="e">
        <f>SUM(#REF!)</f>
        <v>#REF!</v>
      </c>
      <c r="P115" s="42">
        <f t="shared" si="1"/>
        <v>0</v>
      </c>
      <c r="Q115" s="142">
        <f>SUM(P115:P133)</f>
        <v>0</v>
      </c>
    </row>
    <row r="116" spans="1:17" x14ac:dyDescent="0.25">
      <c r="A116" s="61"/>
      <c r="B116" s="18" t="s">
        <v>102</v>
      </c>
      <c r="C116" s="43" t="s">
        <v>104</v>
      </c>
      <c r="D116" s="76">
        <f>COUNTIFS('TOTAL SUSPEK'!$F:$F,"Kalicilik")</f>
        <v>0</v>
      </c>
      <c r="E116" s="22"/>
      <c r="F116" s="23"/>
      <c r="G116" s="23"/>
      <c r="H116" s="23"/>
      <c r="I116" s="23"/>
      <c r="J116" s="23"/>
      <c r="K116" s="24"/>
      <c r="L116" s="24"/>
      <c r="M116" s="24"/>
      <c r="P116" s="42">
        <f t="shared" si="1"/>
        <v>0</v>
      </c>
      <c r="Q116" s="8"/>
    </row>
    <row r="117" spans="1:17" x14ac:dyDescent="0.25">
      <c r="A117" s="61"/>
      <c r="B117" s="18" t="s">
        <v>102</v>
      </c>
      <c r="C117" s="43" t="s">
        <v>105</v>
      </c>
      <c r="D117" s="76">
        <f>COUNTIFS('TOTAL SUSPEK'!$F:$F,"Kadilangu")</f>
        <v>0</v>
      </c>
      <c r="E117" s="22"/>
      <c r="F117" s="23"/>
      <c r="G117" s="23"/>
      <c r="H117" s="23"/>
      <c r="I117" s="23"/>
      <c r="J117" s="23"/>
      <c r="K117" s="24"/>
      <c r="L117" s="24"/>
      <c r="M117" s="24"/>
      <c r="P117" s="42">
        <f t="shared" si="1"/>
        <v>0</v>
      </c>
      <c r="Q117" s="8"/>
    </row>
    <row r="118" spans="1:17" x14ac:dyDescent="0.25">
      <c r="A118" s="61"/>
      <c r="B118" s="18" t="s">
        <v>102</v>
      </c>
      <c r="C118" s="43" t="s">
        <v>106</v>
      </c>
      <c r="D118" s="76">
        <f>COUNTIFS('TOTAL SUSPEK'!$F:$F,"Singorejo")</f>
        <v>0</v>
      </c>
      <c r="E118" s="22"/>
      <c r="F118" s="23"/>
      <c r="G118" s="23"/>
      <c r="H118" s="23"/>
      <c r="I118" s="23"/>
      <c r="J118" s="23"/>
      <c r="K118" s="24"/>
      <c r="L118" s="24"/>
      <c r="M118" s="24"/>
      <c r="P118" s="42">
        <f t="shared" si="1"/>
        <v>0</v>
      </c>
      <c r="Q118" s="8"/>
    </row>
    <row r="119" spans="1:17" x14ac:dyDescent="0.25">
      <c r="A119" s="61"/>
      <c r="B119" s="18" t="s">
        <v>102</v>
      </c>
      <c r="C119" s="43" t="s">
        <v>107</v>
      </c>
      <c r="D119" s="76">
        <f>COUNTIFS('TOTAL SUSPEK'!$F:$F,"Karangmlati")</f>
        <v>0</v>
      </c>
      <c r="E119" s="22"/>
      <c r="F119" s="23"/>
      <c r="G119" s="23"/>
      <c r="H119" s="23"/>
      <c r="I119" s="23"/>
      <c r="J119" s="23"/>
      <c r="K119" s="24"/>
      <c r="L119" s="24"/>
      <c r="M119" s="24"/>
      <c r="P119" s="42">
        <f t="shared" si="1"/>
        <v>0</v>
      </c>
      <c r="Q119" s="8"/>
    </row>
    <row r="120" spans="1:17" x14ac:dyDescent="0.25">
      <c r="A120" s="61"/>
      <c r="B120" s="18" t="s">
        <v>102</v>
      </c>
      <c r="C120" s="43" t="s">
        <v>108</v>
      </c>
      <c r="D120" s="76">
        <f>COUNTIFS('TOTAL SUSPEK'!$F:$F,"Bintoro")</f>
        <v>0</v>
      </c>
      <c r="E120" s="22"/>
      <c r="F120" s="23"/>
      <c r="G120" s="23"/>
      <c r="H120" s="23"/>
      <c r="I120" s="23"/>
      <c r="J120" s="23"/>
      <c r="K120" s="24"/>
      <c r="L120" s="24"/>
      <c r="M120" s="24"/>
      <c r="P120" s="42">
        <f t="shared" si="1"/>
        <v>0</v>
      </c>
      <c r="Q120" s="8"/>
    </row>
    <row r="121" spans="1:17" x14ac:dyDescent="0.25">
      <c r="A121" s="61"/>
      <c r="B121" s="18" t="s">
        <v>102</v>
      </c>
      <c r="C121" s="43" t="s">
        <v>109</v>
      </c>
      <c r="D121" s="76">
        <f>COUNTIFS('TOTAL SUSPEK'!$F:$F,"Turirejo")</f>
        <v>0</v>
      </c>
      <c r="E121" s="22"/>
      <c r="F121" s="23"/>
      <c r="G121" s="23"/>
      <c r="H121" s="23"/>
      <c r="I121" s="23"/>
      <c r="J121" s="23"/>
      <c r="K121" s="24"/>
      <c r="L121" s="24"/>
      <c r="M121" s="24"/>
      <c r="P121" s="42">
        <f t="shared" si="1"/>
        <v>0</v>
      </c>
      <c r="Q121" s="8"/>
    </row>
    <row r="122" spans="1:17" s="14" customFormat="1" x14ac:dyDescent="0.25">
      <c r="A122" s="66"/>
      <c r="B122" s="67" t="s">
        <v>102</v>
      </c>
      <c r="C122" s="43" t="s">
        <v>56</v>
      </c>
      <c r="D122" s="76">
        <f>COUNTIFS('TOTAL SUSPEK'!$F:$F,"Kedondong",'TOTAL SUSPEK'!$E:$E,"demak")</f>
        <v>0</v>
      </c>
      <c r="E122" s="28"/>
      <c r="F122" s="29"/>
      <c r="G122" s="29"/>
      <c r="H122" s="29"/>
      <c r="I122" s="29"/>
      <c r="J122" s="29"/>
      <c r="K122" s="30"/>
      <c r="L122" s="30"/>
      <c r="M122" s="30"/>
      <c r="P122" s="42">
        <f t="shared" si="1"/>
        <v>0</v>
      </c>
      <c r="Q122" s="43"/>
    </row>
    <row r="123" spans="1:17" x14ac:dyDescent="0.25">
      <c r="A123" s="61"/>
      <c r="B123" s="18" t="s">
        <v>102</v>
      </c>
      <c r="C123" s="68" t="s">
        <v>110</v>
      </c>
      <c r="D123" s="76">
        <f>COUNTIFS('TOTAL SUSPEK'!$F:$F,"Bango")</f>
        <v>0</v>
      </c>
      <c r="E123" s="22"/>
      <c r="F123" s="23"/>
      <c r="G123" s="23"/>
      <c r="H123" s="23"/>
      <c r="I123" s="23"/>
      <c r="J123" s="23"/>
      <c r="K123" s="24"/>
      <c r="L123" s="24"/>
      <c r="M123" s="24"/>
      <c r="P123" s="42">
        <f t="shared" si="1"/>
        <v>0</v>
      </c>
      <c r="Q123" s="8"/>
    </row>
    <row r="124" spans="1:17" x14ac:dyDescent="0.25">
      <c r="A124" s="61"/>
      <c r="B124" s="18" t="s">
        <v>102</v>
      </c>
      <c r="C124" s="43" t="s">
        <v>111</v>
      </c>
      <c r="D124" s="76">
        <f>COUNTIFS('TOTAL SUSPEK'!$F:$F,"Raji")</f>
        <v>0</v>
      </c>
      <c r="E124" s="22"/>
      <c r="F124" s="23"/>
      <c r="G124" s="23"/>
      <c r="H124" s="23"/>
      <c r="I124" s="23"/>
      <c r="J124" s="23"/>
      <c r="K124" s="24"/>
      <c r="L124" s="24"/>
      <c r="M124" s="24"/>
      <c r="P124" s="42">
        <f t="shared" si="1"/>
        <v>0</v>
      </c>
      <c r="Q124" s="8"/>
    </row>
    <row r="125" spans="1:17" x14ac:dyDescent="0.25">
      <c r="A125" s="61"/>
      <c r="B125" s="18" t="s">
        <v>102</v>
      </c>
      <c r="C125" s="43" t="s">
        <v>112</v>
      </c>
      <c r="D125" s="76">
        <f>COUNTIFS('TOTAL SUSPEK'!$F:$F,"Mulyorejo")</f>
        <v>0</v>
      </c>
      <c r="E125" s="22"/>
      <c r="F125" s="23"/>
      <c r="G125" s="23"/>
      <c r="H125" s="23"/>
      <c r="I125" s="23"/>
      <c r="J125" s="23"/>
      <c r="K125" s="24"/>
      <c r="L125" s="24"/>
      <c r="M125" s="24"/>
      <c r="P125" s="42">
        <f t="shared" si="1"/>
        <v>0</v>
      </c>
      <c r="Q125" s="8"/>
    </row>
    <row r="126" spans="1:17" x14ac:dyDescent="0.25">
      <c r="A126" s="61"/>
      <c r="B126" s="18" t="s">
        <v>102</v>
      </c>
      <c r="C126" s="43" t="s">
        <v>113</v>
      </c>
      <c r="D126" s="76">
        <f>COUNTIFS('TOTAL SUSPEK'!$F:$F,"Sedo")</f>
        <v>0</v>
      </c>
      <c r="E126" s="22"/>
      <c r="F126" s="23"/>
      <c r="G126" s="23"/>
      <c r="H126" s="23"/>
      <c r="I126" s="23"/>
      <c r="J126" s="23"/>
      <c r="K126" s="24"/>
      <c r="L126" s="24"/>
      <c r="M126" s="24"/>
      <c r="P126" s="42">
        <f t="shared" si="1"/>
        <v>0</v>
      </c>
      <c r="Q126" s="8"/>
    </row>
    <row r="127" spans="1:17" x14ac:dyDescent="0.25">
      <c r="A127" s="61"/>
      <c r="B127" s="18" t="s">
        <v>102</v>
      </c>
      <c r="C127" s="68" t="s">
        <v>114</v>
      </c>
      <c r="D127" s="76">
        <f>COUNTIFS('TOTAL SUSPEK'!$F:$F,"Bolo")</f>
        <v>0</v>
      </c>
      <c r="E127" s="22"/>
      <c r="F127" s="23"/>
      <c r="G127" s="23"/>
      <c r="H127" s="23"/>
      <c r="I127" s="23"/>
      <c r="J127" s="23"/>
      <c r="K127" s="24"/>
      <c r="L127" s="24"/>
      <c r="M127" s="24"/>
      <c r="P127" s="42">
        <f t="shared" si="1"/>
        <v>0</v>
      </c>
      <c r="Q127" s="8"/>
    </row>
    <row r="128" spans="1:17" x14ac:dyDescent="0.25">
      <c r="A128" s="61"/>
      <c r="B128" s="18" t="s">
        <v>102</v>
      </c>
      <c r="C128" s="43" t="s">
        <v>115</v>
      </c>
      <c r="D128" s="76">
        <f>COUNTIFS('TOTAL SUSPEK'!$F:$F,"Katonsari")</f>
        <v>0</v>
      </c>
      <c r="E128" s="22"/>
      <c r="F128" s="23"/>
      <c r="G128" s="23"/>
      <c r="H128" s="23"/>
      <c r="I128" s="23"/>
      <c r="J128" s="23"/>
      <c r="K128" s="24"/>
      <c r="L128" s="24"/>
      <c r="M128" s="24"/>
      <c r="P128" s="42">
        <f t="shared" si="1"/>
        <v>0</v>
      </c>
      <c r="Q128" s="8"/>
    </row>
    <row r="129" spans="1:17" x14ac:dyDescent="0.25">
      <c r="A129" s="61"/>
      <c r="B129" s="18" t="s">
        <v>102</v>
      </c>
      <c r="C129" s="43" t="s">
        <v>116</v>
      </c>
      <c r="D129" s="76">
        <f>COUNTIFS('TOTAL SUSPEK'!$F:$F,"Kalikondang")</f>
        <v>0</v>
      </c>
      <c r="E129" s="22"/>
      <c r="F129" s="23"/>
      <c r="G129" s="23"/>
      <c r="H129" s="23"/>
      <c r="I129" s="23"/>
      <c r="J129" s="23"/>
      <c r="K129" s="24"/>
      <c r="L129" s="24"/>
      <c r="M129" s="24"/>
      <c r="P129" s="42">
        <f t="shared" si="1"/>
        <v>0</v>
      </c>
      <c r="Q129" s="8"/>
    </row>
    <row r="130" spans="1:17" x14ac:dyDescent="0.25">
      <c r="A130" s="61"/>
      <c r="B130" s="18" t="s">
        <v>102</v>
      </c>
      <c r="C130" s="43" t="s">
        <v>117</v>
      </c>
      <c r="D130" s="76">
        <f>COUNTIFS('TOTAL SUSPEK'!$F:$F,"Cabean")</f>
        <v>0</v>
      </c>
      <c r="E130" s="22"/>
      <c r="F130" s="23"/>
      <c r="G130" s="23"/>
      <c r="H130" s="23"/>
      <c r="I130" s="23"/>
      <c r="J130" s="23"/>
      <c r="K130" s="24"/>
      <c r="L130" s="24"/>
      <c r="M130" s="24"/>
      <c r="P130" s="42">
        <f t="shared" si="1"/>
        <v>0</v>
      </c>
      <c r="Q130" s="8"/>
    </row>
    <row r="131" spans="1:17" x14ac:dyDescent="0.25">
      <c r="A131" s="61"/>
      <c r="B131" s="18" t="s">
        <v>102</v>
      </c>
      <c r="C131" s="43" t="s">
        <v>118</v>
      </c>
      <c r="D131" s="76">
        <f>COUNTIFS('TOTAL SUSPEK'!$F:$F,"Tempuran")</f>
        <v>0</v>
      </c>
      <c r="E131" s="22"/>
      <c r="F131" s="23"/>
      <c r="G131" s="23"/>
      <c r="H131" s="23"/>
      <c r="I131" s="23"/>
      <c r="J131" s="23"/>
      <c r="K131" s="24"/>
      <c r="L131" s="24"/>
      <c r="M131" s="24"/>
      <c r="P131" s="42">
        <f t="shared" si="1"/>
        <v>0</v>
      </c>
      <c r="Q131" s="8"/>
    </row>
    <row r="132" spans="1:17" x14ac:dyDescent="0.25">
      <c r="A132" s="61"/>
      <c r="B132" s="18" t="s">
        <v>102</v>
      </c>
      <c r="C132" s="43" t="s">
        <v>119</v>
      </c>
      <c r="D132" s="76">
        <f>COUNTIFS('TOTAL SUSPEK'!$F:$F,"Donorojo")</f>
        <v>0</v>
      </c>
      <c r="E132" s="22"/>
      <c r="F132" s="23"/>
      <c r="G132" s="23"/>
      <c r="H132" s="23"/>
      <c r="I132" s="23"/>
      <c r="J132" s="23"/>
      <c r="K132" s="24"/>
      <c r="L132" s="24"/>
      <c r="M132" s="24"/>
      <c r="P132" s="42">
        <f t="shared" si="1"/>
        <v>0</v>
      </c>
      <c r="Q132" s="8"/>
    </row>
    <row r="133" spans="1:17" x14ac:dyDescent="0.25">
      <c r="A133" s="61"/>
      <c r="B133" s="18" t="s">
        <v>102</v>
      </c>
      <c r="C133" s="43" t="s">
        <v>120</v>
      </c>
      <c r="D133" s="76">
        <f>COUNTIFS('TOTAL SUSPEK'!$F:$F,"Mangunjiwan")</f>
        <v>0</v>
      </c>
      <c r="E133" s="22"/>
      <c r="F133" s="23"/>
      <c r="G133" s="23"/>
      <c r="H133" s="23"/>
      <c r="I133" s="23"/>
      <c r="J133" s="23"/>
      <c r="K133" s="24"/>
      <c r="L133" s="24"/>
      <c r="M133" s="24"/>
      <c r="P133" s="42">
        <f t="shared" si="1"/>
        <v>0</v>
      </c>
      <c r="Q133" s="8"/>
    </row>
    <row r="134" spans="1:17" x14ac:dyDescent="0.25">
      <c r="A134" s="61">
        <v>8</v>
      </c>
      <c r="B134" s="18" t="s">
        <v>121</v>
      </c>
      <c r="C134" s="43" t="s">
        <v>122</v>
      </c>
      <c r="D134" s="76">
        <f>COUNTIFS('TOTAL SUSPEK'!$F:$F,"Morodemak")</f>
        <v>0</v>
      </c>
      <c r="E134" s="22" t="e">
        <f>SUM(#REF!)</f>
        <v>#REF!</v>
      </c>
      <c r="F134" s="22" t="e">
        <f>SUM(#REF!)</f>
        <v>#REF!</v>
      </c>
      <c r="G134" s="22" t="e">
        <f>SUM(#REF!)</f>
        <v>#REF!</v>
      </c>
      <c r="H134" s="22" t="e">
        <f>SUM(#REF!)</f>
        <v>#REF!</v>
      </c>
      <c r="I134" s="22" t="e">
        <f>SUM(#REF!)</f>
        <v>#REF!</v>
      </c>
      <c r="J134" s="22" t="e">
        <f>SUM(#REF!)</f>
        <v>#REF!</v>
      </c>
      <c r="K134" s="22" t="e">
        <f>SUM(#REF!)</f>
        <v>#REF!</v>
      </c>
      <c r="L134" s="22">
        <f>SUM(D134:D154)</f>
        <v>0</v>
      </c>
      <c r="M134" s="22" t="e">
        <f>SUM(#REF!)</f>
        <v>#REF!</v>
      </c>
      <c r="P134" s="42">
        <f t="shared" si="1"/>
        <v>0</v>
      </c>
      <c r="Q134" s="142">
        <f>SUM(P134:P154)</f>
        <v>0</v>
      </c>
    </row>
    <row r="135" spans="1:17" x14ac:dyDescent="0.25">
      <c r="A135" s="61"/>
      <c r="B135" s="18" t="s">
        <v>121</v>
      </c>
      <c r="C135" s="43" t="s">
        <v>123</v>
      </c>
      <c r="D135" s="76">
        <f>COUNTIFS('TOTAL SUSPEK'!$F:$F,"Purworejo")</f>
        <v>0</v>
      </c>
      <c r="E135" s="22"/>
      <c r="F135" s="23"/>
      <c r="G135" s="23"/>
      <c r="H135" s="23"/>
      <c r="I135" s="23"/>
      <c r="J135" s="23"/>
      <c r="K135" s="24"/>
      <c r="L135" s="24"/>
      <c r="M135" s="24"/>
      <c r="P135" s="42">
        <f t="shared" si="1"/>
        <v>0</v>
      </c>
      <c r="Q135" s="8"/>
    </row>
    <row r="136" spans="1:17" x14ac:dyDescent="0.25">
      <c r="A136" s="61"/>
      <c r="B136" s="18" t="s">
        <v>121</v>
      </c>
      <c r="C136" s="43" t="s">
        <v>8</v>
      </c>
      <c r="D136" s="76">
        <f>COUNTIFS('TOTAL SUSPEK'!$F:$F,"Sumberejo",'TOTAL SUSPEK'!$E:$E,"bonang")</f>
        <v>0</v>
      </c>
      <c r="E136" s="22"/>
      <c r="F136" s="23"/>
      <c r="G136" s="23"/>
      <c r="H136" s="23"/>
      <c r="I136" s="23"/>
      <c r="J136" s="23"/>
      <c r="K136" s="24"/>
      <c r="L136" s="24"/>
      <c r="M136" s="24"/>
      <c r="P136" s="42">
        <f t="shared" ref="P136:P199" si="2">SUM(D136:D136)</f>
        <v>0</v>
      </c>
      <c r="Q136" s="8"/>
    </row>
    <row r="137" spans="1:17" x14ac:dyDescent="0.25">
      <c r="A137" s="61"/>
      <c r="B137" s="18" t="s">
        <v>121</v>
      </c>
      <c r="C137" s="43" t="s">
        <v>124</v>
      </c>
      <c r="D137" s="76">
        <f>COUNTIFS('TOTAL SUSPEK'!$F:$F,"Gebangarum")</f>
        <v>0</v>
      </c>
      <c r="E137" s="22"/>
      <c r="F137" s="23"/>
      <c r="G137" s="23"/>
      <c r="H137" s="23"/>
      <c r="I137" s="23"/>
      <c r="J137" s="23"/>
      <c r="K137" s="24"/>
      <c r="L137" s="24"/>
      <c r="M137" s="24"/>
      <c r="P137" s="42">
        <f t="shared" si="2"/>
        <v>0</v>
      </c>
      <c r="Q137" s="8"/>
    </row>
    <row r="138" spans="1:17" x14ac:dyDescent="0.25">
      <c r="A138" s="61"/>
      <c r="B138" s="18" t="s">
        <v>121</v>
      </c>
      <c r="C138" s="43" t="s">
        <v>125</v>
      </c>
      <c r="D138" s="76">
        <f>COUNTIFS('TOTAL SUSPEK'!$F:$F,"Gebang")</f>
        <v>0</v>
      </c>
      <c r="E138" s="22"/>
      <c r="F138" s="23"/>
      <c r="G138" s="23"/>
      <c r="H138" s="23"/>
      <c r="I138" s="23"/>
      <c r="J138" s="23"/>
      <c r="K138" s="24"/>
      <c r="L138" s="24"/>
      <c r="M138" s="24"/>
      <c r="P138" s="42">
        <f t="shared" si="2"/>
        <v>0</v>
      </c>
      <c r="Q138" s="8"/>
    </row>
    <row r="139" spans="1:17" x14ac:dyDescent="0.25">
      <c r="A139" s="61"/>
      <c r="B139" s="18" t="s">
        <v>121</v>
      </c>
      <c r="C139" s="43" t="s">
        <v>126</v>
      </c>
      <c r="D139" s="76">
        <f>COUNTIFS('TOTAL SUSPEK'!$F:$F,"Kembangan")</f>
        <v>0</v>
      </c>
      <c r="E139" s="22"/>
      <c r="F139" s="23"/>
      <c r="G139" s="23"/>
      <c r="H139" s="23"/>
      <c r="I139" s="23"/>
      <c r="J139" s="23"/>
      <c r="K139" s="24"/>
      <c r="L139" s="24"/>
      <c r="M139" s="24"/>
      <c r="P139" s="42">
        <f t="shared" si="2"/>
        <v>0</v>
      </c>
      <c r="Q139" s="8"/>
    </row>
    <row r="140" spans="1:17" x14ac:dyDescent="0.25">
      <c r="A140" s="61"/>
      <c r="B140" s="18" t="s">
        <v>121</v>
      </c>
      <c r="C140" s="43" t="s">
        <v>53</v>
      </c>
      <c r="D140" s="76">
        <f>COUNTIFS('TOTAL SUSPEK'!$F:$F,"Karangrejo",'TOTAL SUSPEK'!$E:$E,"bonang")</f>
        <v>0</v>
      </c>
      <c r="E140" s="22"/>
      <c r="F140" s="23"/>
      <c r="G140" s="23"/>
      <c r="H140" s="23"/>
      <c r="I140" s="23"/>
      <c r="J140" s="23"/>
      <c r="K140" s="24"/>
      <c r="L140" s="24"/>
      <c r="M140" s="24"/>
      <c r="P140" s="42">
        <f t="shared" si="2"/>
        <v>0</v>
      </c>
      <c r="Q140" s="8"/>
    </row>
    <row r="141" spans="1:17" x14ac:dyDescent="0.25">
      <c r="A141" s="61"/>
      <c r="B141" s="18" t="s">
        <v>121</v>
      </c>
      <c r="C141" s="43" t="s">
        <v>127</v>
      </c>
      <c r="D141" s="76">
        <f>COUNTIFS('TOTAL SUSPEK'!$F:$F,"Sukodono")</f>
        <v>0</v>
      </c>
      <c r="E141" s="22"/>
      <c r="F141" s="23"/>
      <c r="G141" s="23"/>
      <c r="H141" s="23"/>
      <c r="I141" s="23"/>
      <c r="J141" s="23"/>
      <c r="K141" s="24"/>
      <c r="L141" s="24"/>
      <c r="M141" s="24"/>
      <c r="P141" s="42">
        <f t="shared" si="2"/>
        <v>0</v>
      </c>
      <c r="Q141" s="8"/>
    </row>
    <row r="142" spans="1:17" x14ac:dyDescent="0.25">
      <c r="A142" s="61"/>
      <c r="B142" s="18" t="s">
        <v>121</v>
      </c>
      <c r="C142" s="43" t="s">
        <v>128</v>
      </c>
      <c r="D142" s="76">
        <f>COUNTIFS('TOTAL SUSPEK'!$F:$F,"Tlogoboyo")</f>
        <v>0</v>
      </c>
      <c r="E142" s="22"/>
      <c r="F142" s="23"/>
      <c r="G142" s="23"/>
      <c r="H142" s="23"/>
      <c r="I142" s="23"/>
      <c r="J142" s="23"/>
      <c r="K142" s="24"/>
      <c r="L142" s="24"/>
      <c r="M142" s="24"/>
      <c r="P142" s="42">
        <f t="shared" si="2"/>
        <v>0</v>
      </c>
      <c r="Q142" s="8"/>
    </row>
    <row r="143" spans="1:17" x14ac:dyDescent="0.25">
      <c r="A143" s="61"/>
      <c r="B143" s="18" t="s">
        <v>121</v>
      </c>
      <c r="C143" s="43" t="s">
        <v>129</v>
      </c>
      <c r="D143" s="76">
        <f>COUNTIFS('TOTAL SUSPEK'!$F:$F,"Margolinduk")</f>
        <v>0</v>
      </c>
      <c r="E143" s="22"/>
      <c r="F143" s="23"/>
      <c r="G143" s="23"/>
      <c r="H143" s="23"/>
      <c r="I143" s="23"/>
      <c r="J143" s="23"/>
      <c r="K143" s="24"/>
      <c r="L143" s="24"/>
      <c r="M143" s="24"/>
      <c r="P143" s="42">
        <f t="shared" si="2"/>
        <v>0</v>
      </c>
      <c r="Q143" s="8"/>
    </row>
    <row r="144" spans="1:17" x14ac:dyDescent="0.25">
      <c r="A144" s="61"/>
      <c r="B144" s="18" t="s">
        <v>121</v>
      </c>
      <c r="C144" s="43" t="s">
        <v>130</v>
      </c>
      <c r="D144" s="76">
        <f>COUNTIFS('TOTAL SUSPEK'!$F:$F,"Tridonorejo")</f>
        <v>0</v>
      </c>
      <c r="E144" s="22"/>
      <c r="F144" s="23"/>
      <c r="G144" s="23"/>
      <c r="H144" s="23"/>
      <c r="I144" s="23"/>
      <c r="J144" s="23"/>
      <c r="K144" s="24"/>
      <c r="L144" s="24"/>
      <c r="M144" s="24"/>
      <c r="P144" s="42">
        <f t="shared" si="2"/>
        <v>0</v>
      </c>
      <c r="Q144" s="8"/>
    </row>
    <row r="145" spans="1:17" x14ac:dyDescent="0.25">
      <c r="A145" s="61"/>
      <c r="B145" s="18" t="s">
        <v>121</v>
      </c>
      <c r="C145" s="43" t="s">
        <v>131</v>
      </c>
      <c r="D145" s="76">
        <f>COUNTIFS('TOTAL SUSPEK'!$F:$F,"Wonosari")</f>
        <v>0</v>
      </c>
      <c r="E145" s="22"/>
      <c r="F145" s="23"/>
      <c r="G145" s="23"/>
      <c r="H145" s="23"/>
      <c r="I145" s="23"/>
      <c r="J145" s="23"/>
      <c r="K145" s="24"/>
      <c r="L145" s="24"/>
      <c r="M145" s="24"/>
      <c r="P145" s="42">
        <f t="shared" si="2"/>
        <v>0</v>
      </c>
      <c r="Q145" s="8"/>
    </row>
    <row r="146" spans="1:17" x14ac:dyDescent="0.25">
      <c r="A146" s="61"/>
      <c r="B146" s="18" t="s">
        <v>121</v>
      </c>
      <c r="C146" s="43" t="s">
        <v>132</v>
      </c>
      <c r="D146" s="76">
        <f>COUNTIFS('TOTAL SUSPEK'!$F:$F,"Jatirogo")</f>
        <v>0</v>
      </c>
      <c r="E146" s="22"/>
      <c r="F146" s="23"/>
      <c r="G146" s="23"/>
      <c r="H146" s="23"/>
      <c r="I146" s="23"/>
      <c r="J146" s="23"/>
      <c r="K146" s="24"/>
      <c r="L146" s="24"/>
      <c r="M146" s="24"/>
      <c r="P146" s="42">
        <f t="shared" si="2"/>
        <v>0</v>
      </c>
      <c r="Q146" s="8"/>
    </row>
    <row r="147" spans="1:17" x14ac:dyDescent="0.25">
      <c r="A147" s="61"/>
      <c r="B147" s="18" t="s">
        <v>121</v>
      </c>
      <c r="C147" s="43" t="s">
        <v>133</v>
      </c>
      <c r="D147" s="76">
        <f>COUNTIFS('TOTAL SUSPEK'!$F:$F,"Poncoharjo")</f>
        <v>0</v>
      </c>
      <c r="E147" s="22"/>
      <c r="F147" s="23"/>
      <c r="G147" s="23"/>
      <c r="H147" s="23"/>
      <c r="I147" s="23"/>
      <c r="J147" s="23"/>
      <c r="K147" s="24"/>
      <c r="L147" s="24"/>
      <c r="M147" s="24"/>
      <c r="P147" s="42">
        <f t="shared" si="2"/>
        <v>0</v>
      </c>
      <c r="Q147" s="8"/>
    </row>
    <row r="148" spans="1:17" x14ac:dyDescent="0.25">
      <c r="A148" s="61"/>
      <c r="B148" s="18" t="s">
        <v>121</v>
      </c>
      <c r="C148" s="43" t="s">
        <v>134</v>
      </c>
      <c r="D148" s="76">
        <f>COUNTIFS('TOTAL SUSPEK'!$F:$F,"Jali")</f>
        <v>0</v>
      </c>
      <c r="E148" s="22"/>
      <c r="F148" s="23"/>
      <c r="G148" s="23"/>
      <c r="H148" s="23"/>
      <c r="I148" s="23"/>
      <c r="J148" s="23"/>
      <c r="K148" s="24"/>
      <c r="L148" s="24"/>
      <c r="M148" s="24"/>
      <c r="P148" s="42">
        <f t="shared" si="2"/>
        <v>0</v>
      </c>
      <c r="Q148" s="8"/>
    </row>
    <row r="149" spans="1:17" x14ac:dyDescent="0.25">
      <c r="A149" s="61"/>
      <c r="B149" s="18" t="s">
        <v>121</v>
      </c>
      <c r="C149" s="43" t="s">
        <v>135</v>
      </c>
      <c r="D149" s="76">
        <f>COUNTIFS('TOTAL SUSPEK'!$F:$F,"Krajanbogo")</f>
        <v>0</v>
      </c>
      <c r="E149" s="22"/>
      <c r="F149" s="23"/>
      <c r="G149" s="23"/>
      <c r="H149" s="23"/>
      <c r="I149" s="23"/>
      <c r="J149" s="23"/>
      <c r="K149" s="24"/>
      <c r="L149" s="24"/>
      <c r="M149" s="24"/>
      <c r="P149" s="42">
        <f t="shared" si="2"/>
        <v>0</v>
      </c>
      <c r="Q149" s="8"/>
    </row>
    <row r="150" spans="1:17" x14ac:dyDescent="0.25">
      <c r="A150" s="61"/>
      <c r="B150" s="18" t="s">
        <v>121</v>
      </c>
      <c r="C150" s="43" t="s">
        <v>136</v>
      </c>
      <c r="D150" s="76">
        <f>COUNTIFS('TOTAL SUSPEK'!$F:$F,"Serangan")</f>
        <v>0</v>
      </c>
      <c r="E150" s="22"/>
      <c r="F150" s="23"/>
      <c r="G150" s="23"/>
      <c r="H150" s="23"/>
      <c r="I150" s="23"/>
      <c r="J150" s="23"/>
      <c r="K150" s="24"/>
      <c r="L150" s="24"/>
      <c r="M150" s="24"/>
      <c r="P150" s="42">
        <f t="shared" si="2"/>
        <v>0</v>
      </c>
      <c r="Q150" s="8"/>
    </row>
    <row r="151" spans="1:17" x14ac:dyDescent="0.25">
      <c r="A151" s="61"/>
      <c r="B151" s="18" t="s">
        <v>121</v>
      </c>
      <c r="C151" s="68" t="s">
        <v>137</v>
      </c>
      <c r="D151" s="76">
        <f>COUNTIFS('TOTAL SUSPEK'!$F:$F,"Betahwalang")</f>
        <v>0</v>
      </c>
      <c r="E151" s="22"/>
      <c r="F151" s="23"/>
      <c r="G151" s="23"/>
      <c r="H151" s="23"/>
      <c r="I151" s="23"/>
      <c r="J151" s="23"/>
      <c r="K151" s="24"/>
      <c r="L151" s="24"/>
      <c r="M151" s="24"/>
      <c r="P151" s="42">
        <f t="shared" si="2"/>
        <v>0</v>
      </c>
      <c r="Q151" s="8"/>
    </row>
    <row r="152" spans="1:17" x14ac:dyDescent="0.25">
      <c r="A152" s="61"/>
      <c r="B152" s="18" t="s">
        <v>121</v>
      </c>
      <c r="C152" s="43" t="s">
        <v>138</v>
      </c>
      <c r="D152" s="76">
        <f>COUNTIFS('TOTAL SUSPEK'!$F:$F,"Jatimulyo")</f>
        <v>0</v>
      </c>
      <c r="E152" s="22"/>
      <c r="F152" s="23"/>
      <c r="G152" s="23"/>
      <c r="H152" s="23"/>
      <c r="I152" s="23"/>
      <c r="J152" s="23"/>
      <c r="K152" s="24"/>
      <c r="L152" s="24"/>
      <c r="M152" s="24"/>
      <c r="P152" s="42">
        <f t="shared" si="2"/>
        <v>0</v>
      </c>
      <c r="Q152" s="8"/>
    </row>
    <row r="153" spans="1:17" x14ac:dyDescent="0.25">
      <c r="A153" s="61"/>
      <c r="B153" s="18" t="s">
        <v>121</v>
      </c>
      <c r="C153" s="43" t="s">
        <v>139</v>
      </c>
      <c r="D153" s="76">
        <f>COUNTIFS('TOTAL SUSPEK'!$F:$F,"Weding")</f>
        <v>0</v>
      </c>
      <c r="E153" s="22"/>
      <c r="F153" s="23"/>
      <c r="G153" s="23"/>
      <c r="H153" s="23"/>
      <c r="I153" s="23"/>
      <c r="J153" s="23"/>
      <c r="K153" s="24"/>
      <c r="L153" s="24"/>
      <c r="M153" s="24"/>
      <c r="P153" s="42">
        <f t="shared" si="2"/>
        <v>0</v>
      </c>
      <c r="Q153" s="8"/>
    </row>
    <row r="154" spans="1:17" x14ac:dyDescent="0.25">
      <c r="A154" s="61"/>
      <c r="B154" s="18" t="s">
        <v>121</v>
      </c>
      <c r="C154" s="43" t="s">
        <v>140</v>
      </c>
      <c r="D154" s="76">
        <f>COUNTIFS('TOTAL SUSPEK'!$F:$F,"Bonangrejo")</f>
        <v>0</v>
      </c>
      <c r="E154" s="22"/>
      <c r="F154" s="23"/>
      <c r="G154" s="23"/>
      <c r="H154" s="23"/>
      <c r="I154" s="23"/>
      <c r="J154" s="23"/>
      <c r="K154" s="24"/>
      <c r="L154" s="24"/>
      <c r="M154" s="24"/>
      <c r="P154" s="42">
        <f t="shared" si="2"/>
        <v>0</v>
      </c>
      <c r="Q154" s="8"/>
    </row>
    <row r="155" spans="1:17" ht="15" customHeight="1" x14ac:dyDescent="0.25">
      <c r="A155" s="61">
        <v>9</v>
      </c>
      <c r="B155" s="18" t="s">
        <v>141</v>
      </c>
      <c r="C155" s="43" t="s">
        <v>142</v>
      </c>
      <c r="D155" s="76">
        <f>COUNTIFS('TOTAL SUSPEK'!$F:$F,"Temuroso")</f>
        <v>0</v>
      </c>
      <c r="E155" s="22" t="e">
        <f>SUM(#REF!)</f>
        <v>#REF!</v>
      </c>
      <c r="F155" s="22" t="e">
        <f>SUM(#REF!)</f>
        <v>#REF!</v>
      </c>
      <c r="G155" s="22" t="e">
        <f>SUM(#REF!)</f>
        <v>#REF!</v>
      </c>
      <c r="H155" s="22" t="e">
        <f>SUM(#REF!)</f>
        <v>#REF!</v>
      </c>
      <c r="I155" s="22" t="e">
        <f>SUM(#REF!)</f>
        <v>#REF!</v>
      </c>
      <c r="J155" s="22" t="e">
        <f>SUM(#REF!)</f>
        <v>#REF!</v>
      </c>
      <c r="K155" s="22" t="e">
        <f>SUM(#REF!)</f>
        <v>#REF!</v>
      </c>
      <c r="L155" s="22">
        <f>SUM(D155:D174)</f>
        <v>0</v>
      </c>
      <c r="M155" s="22" t="e">
        <f>SUM(#REF!)</f>
        <v>#REF!</v>
      </c>
      <c r="P155" s="42">
        <f t="shared" si="2"/>
        <v>0</v>
      </c>
      <c r="Q155" s="142">
        <f>SUM(P155:P174)</f>
        <v>0</v>
      </c>
    </row>
    <row r="156" spans="1:17" ht="15" customHeight="1" x14ac:dyDescent="0.25">
      <c r="A156" s="61"/>
      <c r="B156" s="18" t="s">
        <v>141</v>
      </c>
      <c r="C156" s="43" t="s">
        <v>143</v>
      </c>
      <c r="D156" s="76">
        <f>COUNTIFS('TOTAL SUSPEK'!$F:$F,"Turitempel")</f>
        <v>0</v>
      </c>
      <c r="E156" s="22"/>
      <c r="F156" s="23"/>
      <c r="G156" s="23"/>
      <c r="H156" s="23"/>
      <c r="I156" s="23"/>
      <c r="J156" s="23"/>
      <c r="K156" s="24"/>
      <c r="L156" s="24"/>
      <c r="M156" s="24"/>
      <c r="P156" s="42">
        <f t="shared" si="2"/>
        <v>0</v>
      </c>
      <c r="Q156" s="8"/>
    </row>
    <row r="157" spans="1:17" ht="15" customHeight="1" x14ac:dyDescent="0.25">
      <c r="A157" s="61"/>
      <c r="B157" s="18" t="s">
        <v>141</v>
      </c>
      <c r="C157" s="43" t="s">
        <v>144</v>
      </c>
      <c r="D157" s="76">
        <f>COUNTIFS('TOTAL SUSPEK'!$F:$F,"Tlogoweru")</f>
        <v>0</v>
      </c>
      <c r="E157" s="22"/>
      <c r="F157" s="23"/>
      <c r="G157" s="23"/>
      <c r="H157" s="23"/>
      <c r="I157" s="23"/>
      <c r="J157" s="23"/>
      <c r="K157" s="24"/>
      <c r="L157" s="24"/>
      <c r="M157" s="24"/>
      <c r="P157" s="42">
        <f t="shared" si="2"/>
        <v>0</v>
      </c>
      <c r="Q157" s="8"/>
    </row>
    <row r="158" spans="1:17" ht="15" customHeight="1" x14ac:dyDescent="0.25">
      <c r="A158" s="61"/>
      <c r="B158" s="18" t="s">
        <v>141</v>
      </c>
      <c r="C158" s="43" t="s">
        <v>145</v>
      </c>
      <c r="D158" s="76">
        <f>COUNTIFS('TOTAL SUSPEK'!$F:$F,"Trimulyo")</f>
        <v>0</v>
      </c>
      <c r="E158" s="22"/>
      <c r="F158" s="23"/>
      <c r="G158" s="23"/>
      <c r="H158" s="23"/>
      <c r="I158" s="23"/>
      <c r="J158" s="23"/>
      <c r="K158" s="24"/>
      <c r="L158" s="24"/>
      <c r="M158" s="24"/>
      <c r="P158" s="42">
        <f t="shared" si="2"/>
        <v>0</v>
      </c>
      <c r="Q158" s="8"/>
    </row>
    <row r="159" spans="1:17" ht="15" customHeight="1" x14ac:dyDescent="0.25">
      <c r="A159" s="61"/>
      <c r="B159" s="18" t="s">
        <v>141</v>
      </c>
      <c r="C159" s="43" t="s">
        <v>146</v>
      </c>
      <c r="D159" s="76">
        <f>COUNTIFS('TOTAL SUSPEK'!$F:$F,"Bakalrejo")</f>
        <v>0</v>
      </c>
      <c r="E159" s="22"/>
      <c r="F159" s="23"/>
      <c r="G159" s="23"/>
      <c r="H159" s="23"/>
      <c r="I159" s="23"/>
      <c r="J159" s="23"/>
      <c r="K159" s="24"/>
      <c r="L159" s="24"/>
      <c r="M159" s="24"/>
      <c r="P159" s="42">
        <f t="shared" si="2"/>
        <v>0</v>
      </c>
      <c r="Q159" s="8"/>
    </row>
    <row r="160" spans="1:17" ht="15" customHeight="1" x14ac:dyDescent="0.25">
      <c r="A160" s="61"/>
      <c r="B160" s="18" t="s">
        <v>141</v>
      </c>
      <c r="C160" s="43" t="s">
        <v>50</v>
      </c>
      <c r="D160" s="76">
        <f>COUNTIFS('TOTAL SUSPEK'!$F:$F,"Tlogorejo",'TOTAL SUSPEK'!$E:$E,"guntur")</f>
        <v>0</v>
      </c>
      <c r="E160" s="22"/>
      <c r="F160" s="23"/>
      <c r="G160" s="23"/>
      <c r="H160" s="23"/>
      <c r="I160" s="23"/>
      <c r="J160" s="23"/>
      <c r="K160" s="24"/>
      <c r="L160" s="24"/>
      <c r="M160" s="24"/>
      <c r="P160" s="42">
        <f t="shared" si="2"/>
        <v>0</v>
      </c>
      <c r="Q160" s="8"/>
    </row>
    <row r="161" spans="1:17" ht="15" customHeight="1" x14ac:dyDescent="0.25">
      <c r="A161" s="61"/>
      <c r="B161" s="18" t="s">
        <v>141</v>
      </c>
      <c r="C161" s="43" t="s">
        <v>147</v>
      </c>
      <c r="D161" s="76">
        <f>COUNTIFS('TOTAL SUSPEK'!$F:$F,"Bumiharjo")</f>
        <v>0</v>
      </c>
      <c r="E161" s="22"/>
      <c r="F161" s="23"/>
      <c r="G161" s="23"/>
      <c r="H161" s="23"/>
      <c r="I161" s="23"/>
      <c r="J161" s="23"/>
      <c r="K161" s="24"/>
      <c r="L161" s="24"/>
      <c r="M161" s="24"/>
      <c r="P161" s="42">
        <f t="shared" si="2"/>
        <v>0</v>
      </c>
      <c r="Q161" s="8"/>
    </row>
    <row r="162" spans="1:17" ht="15" customHeight="1" x14ac:dyDescent="0.25">
      <c r="A162" s="61"/>
      <c r="B162" s="18" t="s">
        <v>141</v>
      </c>
      <c r="C162" s="43" t="s">
        <v>148</v>
      </c>
      <c r="D162" s="76">
        <f>COUNTIFS('TOTAL SUSPEK'!$F:$F,"Sidoharjo")</f>
        <v>0</v>
      </c>
      <c r="E162" s="22"/>
      <c r="F162" s="23"/>
      <c r="G162" s="23"/>
      <c r="H162" s="23"/>
      <c r="I162" s="23"/>
      <c r="J162" s="23"/>
      <c r="K162" s="24"/>
      <c r="L162" s="24"/>
      <c r="M162" s="24"/>
      <c r="P162" s="42">
        <f t="shared" si="2"/>
        <v>0</v>
      </c>
      <c r="Q162" s="8"/>
    </row>
    <row r="163" spans="1:17" ht="15" customHeight="1" x14ac:dyDescent="0.25">
      <c r="A163" s="61"/>
      <c r="B163" s="18" t="s">
        <v>141</v>
      </c>
      <c r="C163" s="43" t="s">
        <v>149</v>
      </c>
      <c r="D163" s="76">
        <f>COUNTIFS('TOTAL SUSPEK'!$F:$F,"Bogosari")</f>
        <v>0</v>
      </c>
      <c r="E163" s="22"/>
      <c r="F163" s="23"/>
      <c r="G163" s="23"/>
      <c r="H163" s="23"/>
      <c r="I163" s="23"/>
      <c r="J163" s="23"/>
      <c r="K163" s="24"/>
      <c r="L163" s="24"/>
      <c r="M163" s="24"/>
      <c r="P163" s="42">
        <f t="shared" si="2"/>
        <v>0</v>
      </c>
      <c r="Q163" s="8"/>
    </row>
    <row r="164" spans="1:17" ht="15" customHeight="1" x14ac:dyDescent="0.25">
      <c r="A164" s="61"/>
      <c r="B164" s="18" t="s">
        <v>141</v>
      </c>
      <c r="C164" s="43" t="s">
        <v>150</v>
      </c>
      <c r="D164" s="76">
        <f>COUNTIFS('TOTAL SUSPEK'!$F:$F,"Guntur")</f>
        <v>0</v>
      </c>
      <c r="E164" s="22"/>
      <c r="F164" s="23"/>
      <c r="G164" s="23"/>
      <c r="H164" s="23"/>
      <c r="I164" s="23"/>
      <c r="J164" s="23"/>
      <c r="K164" s="24"/>
      <c r="L164" s="24"/>
      <c r="M164" s="24"/>
      <c r="P164" s="42">
        <f t="shared" si="2"/>
        <v>0</v>
      </c>
      <c r="Q164" s="8"/>
    </row>
    <row r="165" spans="1:17" ht="15" customHeight="1" x14ac:dyDescent="0.25">
      <c r="A165" s="61"/>
      <c r="B165" s="18" t="s">
        <v>141</v>
      </c>
      <c r="C165" s="43" t="s">
        <v>151</v>
      </c>
      <c r="D165" s="76">
        <f>COUNTIFS('TOTAL SUSPEK'!$F:$F,"Blerong")</f>
        <v>0</v>
      </c>
      <c r="E165" s="22"/>
      <c r="F165" s="23"/>
      <c r="G165" s="23"/>
      <c r="H165" s="23"/>
      <c r="I165" s="23"/>
      <c r="J165" s="23"/>
      <c r="K165" s="24"/>
      <c r="L165" s="24"/>
      <c r="M165" s="24"/>
      <c r="P165" s="42">
        <f t="shared" si="2"/>
        <v>0</v>
      </c>
      <c r="Q165" s="8"/>
    </row>
    <row r="166" spans="1:17" ht="15" customHeight="1" x14ac:dyDescent="0.25">
      <c r="A166" s="61"/>
      <c r="B166" s="18" t="s">
        <v>141</v>
      </c>
      <c r="C166" s="43" t="s">
        <v>152</v>
      </c>
      <c r="D166" s="76">
        <f>COUNTIFS('TOTAL SUSPEK'!$F:$F,"Pamongan")</f>
        <v>0</v>
      </c>
      <c r="E166" s="22"/>
      <c r="F166" s="23"/>
      <c r="G166" s="23"/>
      <c r="H166" s="23"/>
      <c r="I166" s="23"/>
      <c r="J166" s="23"/>
      <c r="K166" s="24"/>
      <c r="L166" s="24"/>
      <c r="M166" s="24"/>
      <c r="P166" s="42">
        <f t="shared" si="2"/>
        <v>0</v>
      </c>
      <c r="Q166" s="8"/>
    </row>
    <row r="167" spans="1:17" ht="15" customHeight="1" x14ac:dyDescent="0.25">
      <c r="A167" s="61"/>
      <c r="B167" s="18" t="s">
        <v>141</v>
      </c>
      <c r="C167" s="43" t="s">
        <v>153</v>
      </c>
      <c r="D167" s="76">
        <f>COUNTIFS('TOTAL SUSPEK'!$F:$F,"Sukorejo")</f>
        <v>0</v>
      </c>
      <c r="E167" s="22"/>
      <c r="F167" s="23"/>
      <c r="G167" s="23"/>
      <c r="H167" s="23"/>
      <c r="I167" s="23"/>
      <c r="J167" s="23"/>
      <c r="K167" s="24"/>
      <c r="L167" s="24"/>
      <c r="M167" s="24"/>
      <c r="P167" s="42">
        <f t="shared" si="2"/>
        <v>0</v>
      </c>
      <c r="Q167" s="8"/>
    </row>
    <row r="168" spans="1:17" ht="15" customHeight="1" x14ac:dyDescent="0.25">
      <c r="A168" s="61"/>
      <c r="B168" s="18" t="s">
        <v>141</v>
      </c>
      <c r="C168" s="43" t="s">
        <v>154</v>
      </c>
      <c r="D168" s="76">
        <f>COUNTIFS('TOTAL SUSPEK'!$F:$F,"Sarirejo")</f>
        <v>0</v>
      </c>
      <c r="E168" s="22"/>
      <c r="F168" s="23"/>
      <c r="G168" s="23"/>
      <c r="H168" s="23"/>
      <c r="I168" s="23"/>
      <c r="J168" s="23"/>
      <c r="K168" s="24"/>
      <c r="L168" s="24"/>
      <c r="M168" s="24"/>
      <c r="P168" s="42">
        <f t="shared" si="2"/>
        <v>0</v>
      </c>
      <c r="Q168" s="8"/>
    </row>
    <row r="169" spans="1:17" ht="15" customHeight="1" x14ac:dyDescent="0.25">
      <c r="A169" s="61"/>
      <c r="B169" s="18" t="s">
        <v>141</v>
      </c>
      <c r="C169" s="43" t="s">
        <v>155</v>
      </c>
      <c r="D169" s="76">
        <f>COUNTIFS('TOTAL SUSPEK'!$F:$F,"Sidokumpul")</f>
        <v>0</v>
      </c>
      <c r="E169" s="22"/>
      <c r="F169" s="23"/>
      <c r="G169" s="23"/>
      <c r="H169" s="23"/>
      <c r="I169" s="23"/>
      <c r="J169" s="23"/>
      <c r="K169" s="24"/>
      <c r="L169" s="24"/>
      <c r="M169" s="24"/>
      <c r="P169" s="42">
        <f t="shared" si="2"/>
        <v>0</v>
      </c>
      <c r="Q169" s="8"/>
    </row>
    <row r="170" spans="1:17" ht="15" customHeight="1" x14ac:dyDescent="0.25">
      <c r="A170" s="61"/>
      <c r="B170" s="18" t="s">
        <v>141</v>
      </c>
      <c r="C170" s="43" t="s">
        <v>156</v>
      </c>
      <c r="D170" s="76">
        <f>COUNTIFS('TOTAL SUSPEK'!$F:$F,"Gaji")</f>
        <v>0</v>
      </c>
      <c r="E170" s="22"/>
      <c r="F170" s="23"/>
      <c r="G170" s="23"/>
      <c r="H170" s="23"/>
      <c r="I170" s="23"/>
      <c r="J170" s="23"/>
      <c r="K170" s="24"/>
      <c r="L170" s="24"/>
      <c r="M170" s="24"/>
      <c r="P170" s="42">
        <f t="shared" si="2"/>
        <v>0</v>
      </c>
      <c r="Q170" s="8"/>
    </row>
    <row r="171" spans="1:17" ht="15" customHeight="1" x14ac:dyDescent="0.25">
      <c r="A171" s="61"/>
      <c r="B171" s="18" t="s">
        <v>141</v>
      </c>
      <c r="C171" s="43" t="s">
        <v>157</v>
      </c>
      <c r="D171" s="76">
        <f>COUNTIFS('TOTAL SUSPEK'!$F:$F,"Banjarejo")</f>
        <v>0</v>
      </c>
      <c r="E171" s="22"/>
      <c r="F171" s="23"/>
      <c r="G171" s="23"/>
      <c r="H171" s="23"/>
      <c r="I171" s="23"/>
      <c r="J171" s="23"/>
      <c r="K171" s="24"/>
      <c r="L171" s="24"/>
      <c r="M171" s="24"/>
      <c r="P171" s="42">
        <f t="shared" si="2"/>
        <v>0</v>
      </c>
      <c r="Q171" s="8"/>
    </row>
    <row r="172" spans="1:17" ht="15" customHeight="1" x14ac:dyDescent="0.25">
      <c r="A172" s="61"/>
      <c r="B172" s="18" t="s">
        <v>141</v>
      </c>
      <c r="C172" s="43" t="s">
        <v>158</v>
      </c>
      <c r="D172" s="76">
        <f>COUNTIFS('TOTAL SUSPEK'!$F:$F,"Krandon")</f>
        <v>0</v>
      </c>
      <c r="E172" s="22"/>
      <c r="F172" s="23"/>
      <c r="G172" s="23"/>
      <c r="H172" s="23"/>
      <c r="I172" s="23"/>
      <c r="J172" s="23"/>
      <c r="K172" s="24"/>
      <c r="L172" s="24"/>
      <c r="M172" s="24"/>
      <c r="P172" s="42">
        <f t="shared" si="2"/>
        <v>0</v>
      </c>
      <c r="Q172" s="8"/>
    </row>
    <row r="173" spans="1:17" ht="15" customHeight="1" x14ac:dyDescent="0.25">
      <c r="A173" s="61"/>
      <c r="B173" s="18" t="s">
        <v>141</v>
      </c>
      <c r="C173" s="43" t="s">
        <v>159</v>
      </c>
      <c r="D173" s="76">
        <f>COUNTIFS('TOTAL SUSPEK'!$F:$F,"Tangkis")</f>
        <v>0</v>
      </c>
      <c r="E173" s="22"/>
      <c r="F173" s="23"/>
      <c r="G173" s="23"/>
      <c r="H173" s="23"/>
      <c r="I173" s="23"/>
      <c r="J173" s="23"/>
      <c r="K173" s="24"/>
      <c r="L173" s="24"/>
      <c r="M173" s="24"/>
      <c r="P173" s="42">
        <f t="shared" si="2"/>
        <v>0</v>
      </c>
      <c r="Q173" s="8"/>
    </row>
    <row r="174" spans="1:17" ht="15" customHeight="1" x14ac:dyDescent="0.25">
      <c r="A174" s="61"/>
      <c r="B174" s="18" t="s">
        <v>141</v>
      </c>
      <c r="C174" s="43" t="s">
        <v>80</v>
      </c>
      <c r="D174" s="76">
        <f>COUNTIFS('TOTAL SUSPEK'!$F:$F,"Wonorejo",'TOTAL SUSPEK'!$E:$E,"guntur")</f>
        <v>0</v>
      </c>
      <c r="E174" s="22"/>
      <c r="F174" s="23"/>
      <c r="G174" s="23"/>
      <c r="H174" s="23"/>
      <c r="I174" s="23"/>
      <c r="J174" s="23"/>
      <c r="K174" s="24"/>
      <c r="L174" s="24"/>
      <c r="M174" s="24"/>
      <c r="P174" s="42">
        <f t="shared" si="2"/>
        <v>0</v>
      </c>
      <c r="Q174" s="8"/>
    </row>
    <row r="175" spans="1:17" ht="15" customHeight="1" x14ac:dyDescent="0.25">
      <c r="A175" s="5">
        <v>10</v>
      </c>
      <c r="B175" s="18" t="s">
        <v>164</v>
      </c>
      <c r="C175" s="43" t="s">
        <v>160</v>
      </c>
      <c r="D175" s="76">
        <f>COUNTIFS('TOTAL SUSPEK'!$F:$F,"Bumirejo")</f>
        <v>0</v>
      </c>
      <c r="E175" s="22" t="e">
        <f>SUM(#REF!)</f>
        <v>#REF!</v>
      </c>
      <c r="F175" s="22" t="e">
        <f>SUM(#REF!)</f>
        <v>#REF!</v>
      </c>
      <c r="G175" s="22" t="e">
        <f>SUM(#REF!)</f>
        <v>#REF!</v>
      </c>
      <c r="H175" s="22" t="e">
        <f>SUM(#REF!)</f>
        <v>#REF!</v>
      </c>
      <c r="I175" s="22" t="e">
        <f>SUM(#REF!)</f>
        <v>#REF!</v>
      </c>
      <c r="J175" s="22" t="e">
        <f>SUM(#REF!)</f>
        <v>#REF!</v>
      </c>
      <c r="K175" s="22" t="e">
        <f>SUM(#REF!)</f>
        <v>#REF!</v>
      </c>
      <c r="L175" s="22">
        <f>SUM(D175:D186)</f>
        <v>0</v>
      </c>
      <c r="M175" s="22" t="e">
        <f>SUM(#REF!)</f>
        <v>#REF!</v>
      </c>
      <c r="P175" s="42">
        <f t="shared" si="2"/>
        <v>0</v>
      </c>
      <c r="Q175" s="142">
        <f>SUM(P175:P186)</f>
        <v>0</v>
      </c>
    </row>
    <row r="176" spans="1:17" ht="15" customHeight="1" x14ac:dyDescent="0.25">
      <c r="A176" s="5"/>
      <c r="B176" s="18" t="s">
        <v>164</v>
      </c>
      <c r="C176" s="43" t="s">
        <v>161</v>
      </c>
      <c r="D176" s="76">
        <f>COUNTIFS('TOTAL SUSPEK'!$F:$F,"Pundenarum")</f>
        <v>0</v>
      </c>
      <c r="E176" s="22"/>
      <c r="F176" s="23"/>
      <c r="G176" s="23"/>
      <c r="H176" s="23"/>
      <c r="I176" s="23"/>
      <c r="J176" s="23"/>
      <c r="K176" s="24"/>
      <c r="L176" s="24"/>
      <c r="M176" s="24"/>
      <c r="P176" s="42">
        <f t="shared" si="2"/>
        <v>0</v>
      </c>
      <c r="Q176" s="8"/>
    </row>
    <row r="177" spans="1:17" ht="15" customHeight="1" x14ac:dyDescent="0.25">
      <c r="A177" s="5"/>
      <c r="B177" s="18" t="s">
        <v>164</v>
      </c>
      <c r="C177" s="43" t="s">
        <v>162</v>
      </c>
      <c r="D177" s="76">
        <f>COUNTIFS('TOTAL SUSPEK'!$F:$F,"Kuripan")</f>
        <v>0</v>
      </c>
      <c r="E177" s="22"/>
      <c r="F177" s="23"/>
      <c r="G177" s="23"/>
      <c r="H177" s="23"/>
      <c r="I177" s="23"/>
      <c r="J177" s="23"/>
      <c r="K177" s="24"/>
      <c r="L177" s="24"/>
      <c r="M177" s="24"/>
      <c r="P177" s="42">
        <f t="shared" si="2"/>
        <v>0</v>
      </c>
      <c r="Q177" s="8"/>
    </row>
    <row r="178" spans="1:17" ht="15" customHeight="1" x14ac:dyDescent="0.25">
      <c r="A178" s="5"/>
      <c r="B178" s="18" t="s">
        <v>164</v>
      </c>
      <c r="C178" s="43" t="s">
        <v>163</v>
      </c>
      <c r="D178" s="76">
        <f>COUNTIFS('TOTAL SUSPEK'!$F:$F,"Brambang")</f>
        <v>0</v>
      </c>
      <c r="E178" s="22"/>
      <c r="F178" s="23"/>
      <c r="G178" s="23"/>
      <c r="H178" s="23"/>
      <c r="I178" s="23"/>
      <c r="J178" s="23"/>
      <c r="K178" s="24"/>
      <c r="L178" s="24"/>
      <c r="M178" s="24"/>
      <c r="P178" s="42">
        <f t="shared" si="2"/>
        <v>0</v>
      </c>
      <c r="Q178" s="8"/>
    </row>
    <row r="179" spans="1:17" ht="15" customHeight="1" x14ac:dyDescent="0.25">
      <c r="A179" s="5"/>
      <c r="B179" s="18" t="s">
        <v>164</v>
      </c>
      <c r="C179" s="43" t="s">
        <v>164</v>
      </c>
      <c r="D179" s="76">
        <f>COUNTIFS('TOTAL SUSPEK'!$F:$F,"Karangawen")</f>
        <v>0</v>
      </c>
      <c r="E179" s="22"/>
      <c r="F179" s="23"/>
      <c r="G179" s="23"/>
      <c r="H179" s="23"/>
      <c r="I179" s="23"/>
      <c r="J179" s="23"/>
      <c r="K179" s="24"/>
      <c r="L179" s="24"/>
      <c r="M179" s="24"/>
      <c r="P179" s="42">
        <f t="shared" si="2"/>
        <v>0</v>
      </c>
      <c r="Q179" s="8"/>
    </row>
    <row r="180" spans="1:17" ht="15" customHeight="1" x14ac:dyDescent="0.25">
      <c r="A180" s="5"/>
      <c r="B180" s="18" t="s">
        <v>164</v>
      </c>
      <c r="C180" s="43" t="s">
        <v>165</v>
      </c>
      <c r="D180" s="76">
        <f>COUNTIFS('TOTAL SUSPEK'!$F:$F,"Sidorejo",'TOTAL SUSPEK'!$E:$E,"karangawen")</f>
        <v>0</v>
      </c>
      <c r="E180" s="22"/>
      <c r="F180" s="23"/>
      <c r="G180" s="23"/>
      <c r="H180" s="23"/>
      <c r="I180" s="23"/>
      <c r="J180" s="23"/>
      <c r="K180" s="24"/>
      <c r="L180" s="24"/>
      <c r="M180" s="24"/>
      <c r="P180" s="42">
        <f t="shared" si="2"/>
        <v>0</v>
      </c>
      <c r="Q180" s="8"/>
    </row>
    <row r="181" spans="1:17" ht="15" customHeight="1" x14ac:dyDescent="0.25">
      <c r="A181" s="5"/>
      <c r="B181" s="18" t="s">
        <v>164</v>
      </c>
      <c r="C181" s="43" t="s">
        <v>166</v>
      </c>
      <c r="D181" s="76">
        <f>COUNTIFS('TOTAL SUSPEK'!$F:$F,"Wonosekar")</f>
        <v>0</v>
      </c>
      <c r="E181" s="22"/>
      <c r="F181" s="23"/>
      <c r="G181" s="23"/>
      <c r="H181" s="23"/>
      <c r="I181" s="23"/>
      <c r="J181" s="23"/>
      <c r="K181" s="24"/>
      <c r="L181" s="24"/>
      <c r="M181" s="24"/>
      <c r="P181" s="42">
        <f t="shared" si="2"/>
        <v>0</v>
      </c>
      <c r="Q181" s="8"/>
    </row>
    <row r="182" spans="1:17" ht="15" customHeight="1" x14ac:dyDescent="0.25">
      <c r="A182" s="5"/>
      <c r="B182" s="18" t="s">
        <v>164</v>
      </c>
      <c r="C182" s="43" t="s">
        <v>50</v>
      </c>
      <c r="D182" s="76">
        <f>COUNTIFS('TOTAL SUSPEK'!$F:$F,"Tlogorejo",'TOTAL SUSPEK'!$E:$E,"Karangawen")</f>
        <v>0</v>
      </c>
      <c r="E182" s="22"/>
      <c r="F182" s="23"/>
      <c r="G182" s="23"/>
      <c r="H182" s="23"/>
      <c r="I182" s="23"/>
      <c r="J182" s="23"/>
      <c r="K182" s="24"/>
      <c r="L182" s="24"/>
      <c r="M182" s="24"/>
      <c r="P182" s="42">
        <f t="shared" si="2"/>
        <v>0</v>
      </c>
      <c r="Q182" s="8"/>
    </row>
    <row r="183" spans="1:17" ht="15" customHeight="1" x14ac:dyDescent="0.25">
      <c r="A183" s="5"/>
      <c r="B183" s="18" t="s">
        <v>164</v>
      </c>
      <c r="C183" s="43" t="s">
        <v>26</v>
      </c>
      <c r="D183" s="76">
        <f>COUNTIFS('TOTAL SUSPEK'!$F:$F,"Rejosari",'TOTAL SUSPEK'!$E:$E,"karangawen")</f>
        <v>0</v>
      </c>
      <c r="E183" s="22"/>
      <c r="F183" s="23"/>
      <c r="G183" s="23"/>
      <c r="H183" s="23"/>
      <c r="I183" s="23"/>
      <c r="J183" s="23"/>
      <c r="K183" s="24"/>
      <c r="L183" s="24"/>
      <c r="M183" s="24"/>
      <c r="P183" s="42">
        <f t="shared" si="2"/>
        <v>0</v>
      </c>
      <c r="Q183" s="8"/>
    </row>
    <row r="184" spans="1:17" ht="15" customHeight="1" x14ac:dyDescent="0.25">
      <c r="A184" s="5"/>
      <c r="B184" s="18" t="s">
        <v>164</v>
      </c>
      <c r="C184" s="43" t="s">
        <v>167</v>
      </c>
      <c r="D184" s="76">
        <f>COUNTIFS('TOTAL SUSPEK'!$F:$F,"Teluk")</f>
        <v>0</v>
      </c>
      <c r="E184" s="22"/>
      <c r="F184" s="23"/>
      <c r="G184" s="23"/>
      <c r="H184" s="23"/>
      <c r="I184" s="23"/>
      <c r="J184" s="23"/>
      <c r="K184" s="24"/>
      <c r="L184" s="24"/>
      <c r="M184" s="24"/>
      <c r="P184" s="42">
        <f t="shared" si="2"/>
        <v>0</v>
      </c>
      <c r="Q184" s="8"/>
    </row>
    <row r="185" spans="1:17" ht="15" customHeight="1" x14ac:dyDescent="0.25">
      <c r="A185" s="5"/>
      <c r="B185" s="18" t="s">
        <v>164</v>
      </c>
      <c r="C185" s="43" t="s">
        <v>168</v>
      </c>
      <c r="D185" s="76">
        <f>COUNTIFS('TOTAL SUSPEK'!$F:$F,"Margohayu")</f>
        <v>0</v>
      </c>
      <c r="E185" s="22"/>
      <c r="F185" s="23"/>
      <c r="G185" s="23"/>
      <c r="H185" s="23"/>
      <c r="I185" s="23"/>
      <c r="J185" s="23"/>
      <c r="K185" s="24"/>
      <c r="L185" s="24"/>
      <c r="M185" s="24"/>
      <c r="P185" s="42">
        <f t="shared" si="2"/>
        <v>0</v>
      </c>
      <c r="Q185" s="8"/>
    </row>
    <row r="186" spans="1:17" ht="15" customHeight="1" x14ac:dyDescent="0.25">
      <c r="A186" s="5"/>
      <c r="B186" s="18" t="s">
        <v>164</v>
      </c>
      <c r="C186" s="43" t="s">
        <v>169</v>
      </c>
      <c r="D186" s="76">
        <f>COUNTIFS('TOTAL SUSPEK'!$F:$F,"Jragung")</f>
        <v>0</v>
      </c>
      <c r="E186" s="22"/>
      <c r="F186" s="23"/>
      <c r="G186" s="23"/>
      <c r="H186" s="23"/>
      <c r="I186" s="23"/>
      <c r="J186" s="23"/>
      <c r="K186" s="24"/>
      <c r="L186" s="24"/>
      <c r="M186" s="24"/>
      <c r="P186" s="42">
        <f t="shared" si="2"/>
        <v>0</v>
      </c>
      <c r="Q186" s="8"/>
    </row>
    <row r="187" spans="1:17" x14ac:dyDescent="0.25">
      <c r="A187" s="5">
        <v>11</v>
      </c>
      <c r="B187" s="18" t="s">
        <v>170</v>
      </c>
      <c r="C187" s="43" t="s">
        <v>171</v>
      </c>
      <c r="D187" s="76">
        <f>COUNTIFS('TOTAL SUSPEK'!$F:$F,"Harjowinangun")</f>
        <v>0</v>
      </c>
      <c r="E187" s="22" t="e">
        <f>SUM(#REF!)</f>
        <v>#REF!</v>
      </c>
      <c r="F187" s="22" t="e">
        <f>SUM(#REF!)</f>
        <v>#REF!</v>
      </c>
      <c r="G187" s="22" t="e">
        <f>SUM(#REF!)</f>
        <v>#REF!</v>
      </c>
      <c r="H187" s="22" t="e">
        <f>SUM(#REF!)</f>
        <v>#REF!</v>
      </c>
      <c r="I187" s="22" t="e">
        <f>SUM(#REF!)</f>
        <v>#REF!</v>
      </c>
      <c r="J187" s="22" t="e">
        <f>SUM(#REF!)</f>
        <v>#REF!</v>
      </c>
      <c r="K187" s="22" t="e">
        <f>SUM(#REF!)</f>
        <v>#REF!</v>
      </c>
      <c r="L187" s="22">
        <f>SUM(D187:D202)</f>
        <v>0</v>
      </c>
      <c r="M187" s="22" t="e">
        <f>SUM(#REF!)</f>
        <v>#REF!</v>
      </c>
      <c r="P187" s="42">
        <f t="shared" si="2"/>
        <v>0</v>
      </c>
      <c r="Q187" s="142">
        <f>SUM(P187:P202)</f>
        <v>0</v>
      </c>
    </row>
    <row r="188" spans="1:17" x14ac:dyDescent="0.25">
      <c r="A188" s="5"/>
      <c r="B188" s="18" t="s">
        <v>170</v>
      </c>
      <c r="C188" s="43" t="s">
        <v>170</v>
      </c>
      <c r="D188" s="76">
        <f>COUNTIFS('TOTAL SUSPEK'!$F:$F,"Dempet")</f>
        <v>0</v>
      </c>
      <c r="E188" s="22"/>
      <c r="F188" s="23"/>
      <c r="G188" s="23"/>
      <c r="H188" s="23"/>
      <c r="I188" s="23"/>
      <c r="J188" s="23"/>
      <c r="K188" s="24"/>
      <c r="L188" s="24"/>
      <c r="M188" s="24"/>
      <c r="P188" s="42">
        <f t="shared" si="2"/>
        <v>0</v>
      </c>
      <c r="Q188" s="8"/>
    </row>
    <row r="189" spans="1:17" x14ac:dyDescent="0.25">
      <c r="A189" s="5"/>
      <c r="B189" s="18" t="s">
        <v>170</v>
      </c>
      <c r="C189" s="43" t="s">
        <v>172</v>
      </c>
      <c r="D189" s="76">
        <f>COUNTIFS('TOTAL SUSPEK'!$F:$F,"Brakas")</f>
        <v>0</v>
      </c>
      <c r="E189" s="22"/>
      <c r="F189" s="23"/>
      <c r="G189" s="23"/>
      <c r="H189" s="23"/>
      <c r="I189" s="23"/>
      <c r="J189" s="23"/>
      <c r="K189" s="24"/>
      <c r="L189" s="24"/>
      <c r="M189" s="24"/>
      <c r="P189" s="42">
        <f t="shared" si="2"/>
        <v>0</v>
      </c>
      <c r="Q189" s="8"/>
    </row>
    <row r="190" spans="1:17" x14ac:dyDescent="0.25">
      <c r="A190" s="5"/>
      <c r="B190" s="18" t="s">
        <v>170</v>
      </c>
      <c r="C190" s="68" t="s">
        <v>44</v>
      </c>
      <c r="D190" s="76">
        <f>COUNTIFS('TOTAL SUSPEK'!$F:$F,"Sidomulyo",'TOTAL SUSPEK'!$E:$E,"dempet")</f>
        <v>0</v>
      </c>
      <c r="E190" s="22"/>
      <c r="F190" s="23"/>
      <c r="G190" s="23"/>
      <c r="H190" s="23"/>
      <c r="I190" s="23"/>
      <c r="J190" s="23"/>
      <c r="K190" s="24"/>
      <c r="L190" s="24"/>
      <c r="M190" s="24"/>
      <c r="P190" s="42">
        <f t="shared" si="2"/>
        <v>0</v>
      </c>
      <c r="Q190" s="8"/>
    </row>
    <row r="191" spans="1:17" x14ac:dyDescent="0.25">
      <c r="A191" s="5"/>
      <c r="B191" s="18" t="s">
        <v>170</v>
      </c>
      <c r="C191" s="43" t="s">
        <v>173</v>
      </c>
      <c r="D191" s="76">
        <f>COUNTIFS('TOTAL SUSPEK'!$F:$F,"Gempoldenok")</f>
        <v>0</v>
      </c>
      <c r="E191" s="22"/>
      <c r="F191" s="23"/>
      <c r="G191" s="23"/>
      <c r="H191" s="23"/>
      <c r="I191" s="23"/>
      <c r="J191" s="23"/>
      <c r="K191" s="24"/>
      <c r="L191" s="24"/>
      <c r="M191" s="24"/>
      <c r="P191" s="42">
        <f t="shared" si="2"/>
        <v>0</v>
      </c>
      <c r="Q191" s="8"/>
    </row>
    <row r="192" spans="1:17" x14ac:dyDescent="0.25">
      <c r="A192" s="5"/>
      <c r="B192" s="18" t="s">
        <v>170</v>
      </c>
      <c r="C192" s="43" t="s">
        <v>174</v>
      </c>
      <c r="D192" s="76">
        <f>COUNTIFS('TOTAL SUSPEK'!$F:$F,"Botosengon")</f>
        <v>0</v>
      </c>
      <c r="E192" s="22"/>
      <c r="F192" s="23"/>
      <c r="G192" s="23"/>
      <c r="H192" s="23"/>
      <c r="I192" s="23"/>
      <c r="J192" s="23"/>
      <c r="K192" s="24"/>
      <c r="L192" s="24"/>
      <c r="M192" s="24"/>
      <c r="P192" s="42">
        <f t="shared" si="2"/>
        <v>0</v>
      </c>
      <c r="Q192" s="8"/>
    </row>
    <row r="193" spans="1:17" x14ac:dyDescent="0.25">
      <c r="A193" s="5"/>
      <c r="B193" s="18" t="s">
        <v>170</v>
      </c>
      <c r="C193" s="43" t="s">
        <v>175</v>
      </c>
      <c r="D193" s="76">
        <f>COUNTIFS('TOTAL SUSPEK'!$F:$F,"Merak")</f>
        <v>0</v>
      </c>
      <c r="E193" s="22"/>
      <c r="F193" s="23"/>
      <c r="G193" s="23"/>
      <c r="H193" s="23"/>
      <c r="I193" s="23"/>
      <c r="J193" s="23"/>
      <c r="K193" s="24"/>
      <c r="L193" s="24"/>
      <c r="M193" s="24"/>
      <c r="P193" s="42">
        <f t="shared" si="2"/>
        <v>0</v>
      </c>
      <c r="Q193" s="8"/>
    </row>
    <row r="194" spans="1:17" x14ac:dyDescent="0.25">
      <c r="A194" s="5"/>
      <c r="B194" s="18" t="s">
        <v>170</v>
      </c>
      <c r="C194" s="43" t="s">
        <v>176</v>
      </c>
      <c r="D194" s="76">
        <f>COUNTIFS('TOTAL SUSPEK'!$F:$F,"Kebonsari")</f>
        <v>0</v>
      </c>
      <c r="E194" s="22"/>
      <c r="F194" s="23"/>
      <c r="G194" s="23"/>
      <c r="H194" s="23"/>
      <c r="I194" s="23"/>
      <c r="J194" s="23"/>
      <c r="K194" s="24"/>
      <c r="L194" s="24"/>
      <c r="M194" s="24"/>
      <c r="P194" s="42">
        <f t="shared" si="2"/>
        <v>0</v>
      </c>
      <c r="Q194" s="8"/>
    </row>
    <row r="195" spans="1:17" x14ac:dyDescent="0.25">
      <c r="A195" s="5"/>
      <c r="B195" s="18" t="s">
        <v>170</v>
      </c>
      <c r="C195" s="43" t="s">
        <v>177</v>
      </c>
      <c r="D195" s="76">
        <f>COUNTIFS('TOTAL SUSPEK'!$F:$F,"Balerejo")</f>
        <v>0</v>
      </c>
      <c r="E195" s="22"/>
      <c r="F195" s="23"/>
      <c r="G195" s="23"/>
      <c r="H195" s="23"/>
      <c r="I195" s="23"/>
      <c r="J195" s="23"/>
      <c r="K195" s="24"/>
      <c r="L195" s="24"/>
      <c r="M195" s="24"/>
      <c r="P195" s="42">
        <f t="shared" si="2"/>
        <v>0</v>
      </c>
      <c r="Q195" s="8"/>
    </row>
    <row r="196" spans="1:17" x14ac:dyDescent="0.25">
      <c r="A196" s="5"/>
      <c r="B196" s="18" t="s">
        <v>170</v>
      </c>
      <c r="C196" s="43" t="s">
        <v>53</v>
      </c>
      <c r="D196" s="76">
        <f>COUNTIFS('TOTAL SUSPEK'!$F:$F,"Karangrejo",'TOTAL SUSPEK'!$E:$E,"dempet")</f>
        <v>0</v>
      </c>
      <c r="E196" s="22"/>
      <c r="F196" s="23"/>
      <c r="G196" s="23"/>
      <c r="H196" s="23"/>
      <c r="I196" s="23"/>
      <c r="J196" s="23"/>
      <c r="K196" s="24"/>
      <c r="L196" s="24"/>
      <c r="M196" s="24"/>
      <c r="P196" s="42">
        <f t="shared" si="2"/>
        <v>0</v>
      </c>
      <c r="Q196" s="8"/>
    </row>
    <row r="197" spans="1:17" x14ac:dyDescent="0.25">
      <c r="A197" s="5"/>
      <c r="B197" s="18" t="s">
        <v>170</v>
      </c>
      <c r="C197" s="43" t="s">
        <v>178</v>
      </c>
      <c r="D197" s="76">
        <f>COUNTIFS('TOTAL SUSPEK'!$F:$F,"Baleromo")</f>
        <v>0</v>
      </c>
      <c r="E197" s="22"/>
      <c r="F197" s="23"/>
      <c r="G197" s="23"/>
      <c r="H197" s="23"/>
      <c r="I197" s="23"/>
      <c r="J197" s="23"/>
      <c r="K197" s="24"/>
      <c r="L197" s="24"/>
      <c r="M197" s="24"/>
      <c r="P197" s="42">
        <f t="shared" si="2"/>
        <v>0</v>
      </c>
      <c r="Q197" s="8"/>
    </row>
    <row r="198" spans="1:17" x14ac:dyDescent="0.25">
      <c r="A198" s="5"/>
      <c r="B198" s="18" t="s">
        <v>170</v>
      </c>
      <c r="C198" s="43" t="s">
        <v>179</v>
      </c>
      <c r="D198" s="76">
        <f>COUNTIFS('TOTAL SUSPEK'!$F:$F,"Jerukgulung")</f>
        <v>0</v>
      </c>
      <c r="E198" s="22"/>
      <c r="F198" s="23"/>
      <c r="G198" s="23"/>
      <c r="H198" s="23"/>
      <c r="I198" s="23"/>
      <c r="J198" s="23"/>
      <c r="K198" s="24"/>
      <c r="L198" s="24"/>
      <c r="M198" s="24"/>
      <c r="P198" s="42">
        <f t="shared" si="2"/>
        <v>0</v>
      </c>
      <c r="Q198" s="8"/>
    </row>
    <row r="199" spans="1:17" x14ac:dyDescent="0.25">
      <c r="A199" s="5"/>
      <c r="B199" s="18" t="s">
        <v>170</v>
      </c>
      <c r="C199" s="43" t="s">
        <v>180</v>
      </c>
      <c r="D199" s="76">
        <f>COUNTIFS('TOTAL SUSPEK'!$F:$F,"Kunir")</f>
        <v>0</v>
      </c>
      <c r="E199" s="22"/>
      <c r="F199" s="23"/>
      <c r="G199" s="23"/>
      <c r="H199" s="23"/>
      <c r="I199" s="23"/>
      <c r="J199" s="23"/>
      <c r="K199" s="24"/>
      <c r="L199" s="24"/>
      <c r="M199" s="24"/>
      <c r="P199" s="42">
        <f t="shared" si="2"/>
        <v>0</v>
      </c>
      <c r="Q199" s="8"/>
    </row>
    <row r="200" spans="1:17" x14ac:dyDescent="0.25">
      <c r="A200" s="5"/>
      <c r="B200" s="18" t="s">
        <v>170</v>
      </c>
      <c r="C200" s="43" t="s">
        <v>398</v>
      </c>
      <c r="D200" s="76">
        <f>COUNTIFS('TOTAL SUSPEK'!$F:$F,"Kedungori")</f>
        <v>0</v>
      </c>
      <c r="E200" s="22"/>
      <c r="F200" s="23"/>
      <c r="G200" s="23"/>
      <c r="H200" s="23"/>
      <c r="I200" s="23"/>
      <c r="J200" s="23"/>
      <c r="K200" s="24"/>
      <c r="L200" s="24"/>
      <c r="M200" s="24"/>
      <c r="P200" s="42">
        <f t="shared" ref="P200:P257" si="3">SUM(D200:D200)</f>
        <v>0</v>
      </c>
      <c r="Q200" s="8"/>
    </row>
    <row r="201" spans="1:17" x14ac:dyDescent="0.25">
      <c r="A201" s="5"/>
      <c r="B201" s="18" t="s">
        <v>170</v>
      </c>
      <c r="C201" s="68" t="s">
        <v>181</v>
      </c>
      <c r="D201" s="76">
        <f>COUNTIFS('TOTAL SUSPEK'!$F:$F,"Kuwu")</f>
        <v>0</v>
      </c>
      <c r="E201" s="22"/>
      <c r="F201" s="23"/>
      <c r="G201" s="23"/>
      <c r="H201" s="23"/>
      <c r="I201" s="23"/>
      <c r="J201" s="23"/>
      <c r="K201" s="24"/>
      <c r="L201" s="24"/>
      <c r="M201" s="24"/>
      <c r="P201" s="42">
        <f t="shared" si="3"/>
        <v>0</v>
      </c>
      <c r="Q201" s="8"/>
    </row>
    <row r="202" spans="1:17" x14ac:dyDescent="0.25">
      <c r="A202" s="5"/>
      <c r="B202" s="18" t="s">
        <v>170</v>
      </c>
      <c r="C202" s="43" t="s">
        <v>182</v>
      </c>
      <c r="D202" s="76">
        <f>COUNTIFS('TOTAL SUSPEK'!$F:$F,"Kramat")</f>
        <v>0</v>
      </c>
      <c r="E202" s="22"/>
      <c r="F202" s="23"/>
      <c r="G202" s="23"/>
      <c r="H202" s="23"/>
      <c r="I202" s="23"/>
      <c r="J202" s="23"/>
      <c r="K202" s="24"/>
      <c r="L202" s="24"/>
      <c r="M202" s="24"/>
      <c r="P202" s="42">
        <f t="shared" si="3"/>
        <v>0</v>
      </c>
      <c r="Q202" s="8"/>
    </row>
    <row r="203" spans="1:17" ht="15" customHeight="1" x14ac:dyDescent="0.25">
      <c r="A203" s="5">
        <v>12</v>
      </c>
      <c r="B203" s="18" t="s">
        <v>183</v>
      </c>
      <c r="C203" s="43" t="s">
        <v>184</v>
      </c>
      <c r="D203" s="76">
        <f>COUNTIFS('TOTAL SUSPEK'!$F:$F,"Mangunrejo")</f>
        <v>0</v>
      </c>
      <c r="E203" s="22" t="e">
        <f>SUM(#REF!)</f>
        <v>#REF!</v>
      </c>
      <c r="F203" s="22" t="e">
        <f>SUM(#REF!)</f>
        <v>#REF!</v>
      </c>
      <c r="G203" s="22" t="e">
        <f>SUM(#REF!)</f>
        <v>#REF!</v>
      </c>
      <c r="H203" s="22" t="e">
        <f>SUM(#REF!)</f>
        <v>#REF!</v>
      </c>
      <c r="I203" s="22" t="e">
        <f>SUM(#REF!)</f>
        <v>#REF!</v>
      </c>
      <c r="J203" s="22" t="e">
        <f>SUM(#REF!)</f>
        <v>#REF!</v>
      </c>
      <c r="K203" s="22" t="e">
        <f>SUM(#REF!)</f>
        <v>#REF!</v>
      </c>
      <c r="L203" s="22">
        <f>SUM(D203:D216)</f>
        <v>0</v>
      </c>
      <c r="M203" s="22" t="e">
        <f>SUM(#REF!)</f>
        <v>#REF!</v>
      </c>
      <c r="P203" s="42">
        <f t="shared" si="3"/>
        <v>0</v>
      </c>
      <c r="Q203" s="142">
        <f>SUM(P203:P216)</f>
        <v>0</v>
      </c>
    </row>
    <row r="204" spans="1:17" ht="15" customHeight="1" x14ac:dyDescent="0.25">
      <c r="A204" s="5"/>
      <c r="B204" s="18" t="s">
        <v>183</v>
      </c>
      <c r="C204" s="43" t="s">
        <v>185</v>
      </c>
      <c r="D204" s="76">
        <f>COUNTIFS('TOTAL SUSPEK'!$F:$F,"Tlogosih")</f>
        <v>0</v>
      </c>
      <c r="E204" s="22"/>
      <c r="F204" s="23"/>
      <c r="G204" s="23"/>
      <c r="H204" s="23"/>
      <c r="I204" s="23"/>
      <c r="J204" s="23"/>
      <c r="K204" s="24"/>
      <c r="L204" s="24"/>
      <c r="M204" s="24"/>
      <c r="P204" s="42">
        <f t="shared" si="3"/>
        <v>0</v>
      </c>
      <c r="Q204" s="8"/>
    </row>
    <row r="205" spans="1:17" ht="15" customHeight="1" x14ac:dyDescent="0.25">
      <c r="A205" s="5"/>
      <c r="B205" s="18" t="s">
        <v>183</v>
      </c>
      <c r="C205" s="43" t="s">
        <v>186</v>
      </c>
      <c r="D205" s="76">
        <f>COUNTIFS('TOTAL SUSPEK'!$F:$F,"Megonten")</f>
        <v>0</v>
      </c>
      <c r="E205" s="22"/>
      <c r="F205" s="23"/>
      <c r="G205" s="23"/>
      <c r="H205" s="23"/>
      <c r="I205" s="23"/>
      <c r="J205" s="23"/>
      <c r="K205" s="24"/>
      <c r="L205" s="24"/>
      <c r="M205" s="24"/>
      <c r="P205" s="42">
        <f t="shared" si="3"/>
        <v>0</v>
      </c>
      <c r="Q205" s="8"/>
    </row>
    <row r="206" spans="1:17" ht="15" customHeight="1" x14ac:dyDescent="0.25">
      <c r="A206" s="5"/>
      <c r="B206" s="18" t="s">
        <v>183</v>
      </c>
      <c r="C206" s="43" t="s">
        <v>187</v>
      </c>
      <c r="D206" s="76">
        <f>COUNTIFS('TOTAL SUSPEK'!$F:$F,"Soko kidul")</f>
        <v>0</v>
      </c>
      <c r="E206" s="22"/>
      <c r="F206" s="23"/>
      <c r="G206" s="23"/>
      <c r="H206" s="23"/>
      <c r="I206" s="23"/>
      <c r="J206" s="23"/>
      <c r="K206" s="24"/>
      <c r="L206" s="24"/>
      <c r="M206" s="24"/>
      <c r="P206" s="42">
        <f t="shared" si="3"/>
        <v>0</v>
      </c>
      <c r="Q206" s="8"/>
    </row>
    <row r="207" spans="1:17" ht="15" customHeight="1" x14ac:dyDescent="0.25">
      <c r="A207" s="5"/>
      <c r="B207" s="18" t="s">
        <v>183</v>
      </c>
      <c r="C207" s="43" t="s">
        <v>188</v>
      </c>
      <c r="D207" s="76">
        <f>COUNTIFS('TOTAL SUSPEK'!$F:$F,"Pilang wetan")</f>
        <v>0</v>
      </c>
      <c r="E207" s="22"/>
      <c r="F207" s="23"/>
      <c r="G207" s="23"/>
      <c r="H207" s="23"/>
      <c r="I207" s="23"/>
      <c r="J207" s="23"/>
      <c r="K207" s="24"/>
      <c r="L207" s="24"/>
      <c r="M207" s="24"/>
      <c r="P207" s="42">
        <f t="shared" si="3"/>
        <v>0</v>
      </c>
      <c r="Q207" s="8"/>
    </row>
    <row r="208" spans="1:17" ht="15" customHeight="1" x14ac:dyDescent="0.25">
      <c r="A208" s="5"/>
      <c r="B208" s="18" t="s">
        <v>183</v>
      </c>
      <c r="C208" s="43" t="s">
        <v>183</v>
      </c>
      <c r="D208" s="76">
        <f>COUNTIFS('TOTAL SUSPEK'!$F:$F,"Kebonagung")</f>
        <v>0</v>
      </c>
      <c r="E208" s="22"/>
      <c r="F208" s="23"/>
      <c r="G208" s="23"/>
      <c r="H208" s="23"/>
      <c r="I208" s="23"/>
      <c r="J208" s="23"/>
      <c r="K208" s="24"/>
      <c r="L208" s="24"/>
      <c r="M208" s="24"/>
      <c r="P208" s="42">
        <f t="shared" si="3"/>
        <v>0</v>
      </c>
      <c r="Q208" s="8"/>
    </row>
    <row r="209" spans="1:17" ht="15" customHeight="1" x14ac:dyDescent="0.25">
      <c r="A209" s="5"/>
      <c r="B209" s="18" t="s">
        <v>183</v>
      </c>
      <c r="C209" s="43" t="s">
        <v>88</v>
      </c>
      <c r="D209" s="76">
        <f>COUNTIFS('TOTAL SUSPEK'!$F:$F,"Mijen",'TOTAL SUSPEK'!$E:$E,"kebonagung")</f>
        <v>0</v>
      </c>
      <c r="E209" s="22"/>
      <c r="F209" s="23"/>
      <c r="G209" s="23"/>
      <c r="H209" s="23"/>
      <c r="I209" s="23"/>
      <c r="J209" s="23"/>
      <c r="K209" s="24"/>
      <c r="L209" s="24"/>
      <c r="M209" s="24"/>
      <c r="P209" s="42">
        <f t="shared" si="3"/>
        <v>0</v>
      </c>
      <c r="Q209" s="8"/>
    </row>
    <row r="210" spans="1:17" ht="15" customHeight="1" x14ac:dyDescent="0.25">
      <c r="A210" s="5"/>
      <c r="B210" s="18" t="s">
        <v>183</v>
      </c>
      <c r="C210" s="43" t="s">
        <v>189</v>
      </c>
      <c r="D210" s="76">
        <f>COUNTIFS('TOTAL SUSPEK'!$F:$F,"Klampok Lor")</f>
        <v>0</v>
      </c>
      <c r="E210" s="22"/>
      <c r="F210" s="23"/>
      <c r="G210" s="23"/>
      <c r="H210" s="23"/>
      <c r="I210" s="23"/>
      <c r="J210" s="23"/>
      <c r="K210" s="24"/>
      <c r="L210" s="24"/>
      <c r="M210" s="24"/>
      <c r="P210" s="42">
        <f t="shared" si="3"/>
        <v>0</v>
      </c>
      <c r="Q210" s="8"/>
    </row>
    <row r="211" spans="1:17" ht="15" customHeight="1" x14ac:dyDescent="0.25">
      <c r="A211" s="5"/>
      <c r="B211" s="18" t="s">
        <v>183</v>
      </c>
      <c r="C211" s="43" t="s">
        <v>190</v>
      </c>
      <c r="D211" s="76">
        <f>COUNTIFS('TOTAL SUSPEK'!$F:$F,"Werdoyo")</f>
        <v>0</v>
      </c>
      <c r="E211" s="22"/>
      <c r="F211" s="23"/>
      <c r="G211" s="23"/>
      <c r="H211" s="23"/>
      <c r="I211" s="23"/>
      <c r="J211" s="23"/>
      <c r="K211" s="24"/>
      <c r="L211" s="24"/>
      <c r="M211" s="24"/>
      <c r="P211" s="42">
        <f t="shared" si="3"/>
        <v>0</v>
      </c>
      <c r="Q211" s="8"/>
    </row>
    <row r="212" spans="1:17" ht="15" customHeight="1" x14ac:dyDescent="0.25">
      <c r="A212" s="5"/>
      <c r="B212" s="18" t="s">
        <v>183</v>
      </c>
      <c r="C212" s="43" t="s">
        <v>191</v>
      </c>
      <c r="D212" s="76">
        <f>COUNTIFS('TOTAL SUSPEK'!$F:$F,"Babat")</f>
        <v>0</v>
      </c>
      <c r="E212" s="22"/>
      <c r="F212" s="23"/>
      <c r="G212" s="23"/>
      <c r="H212" s="23"/>
      <c r="I212" s="23"/>
      <c r="J212" s="23"/>
      <c r="K212" s="24"/>
      <c r="L212" s="24"/>
      <c r="M212" s="24"/>
      <c r="P212" s="42">
        <f t="shared" si="3"/>
        <v>0</v>
      </c>
      <c r="Q212" s="8"/>
    </row>
    <row r="213" spans="1:17" ht="15" customHeight="1" x14ac:dyDescent="0.25">
      <c r="A213" s="5"/>
      <c r="B213" s="18" t="s">
        <v>183</v>
      </c>
      <c r="C213" s="43" t="s">
        <v>192</v>
      </c>
      <c r="D213" s="76">
        <f>COUNTIFS('TOTAL SUSPEK'!$F:$F,"Prigi")</f>
        <v>0</v>
      </c>
      <c r="E213" s="22"/>
      <c r="F213" s="23"/>
      <c r="G213" s="23"/>
      <c r="H213" s="23"/>
      <c r="I213" s="23"/>
      <c r="J213" s="23"/>
      <c r="K213" s="24"/>
      <c r="L213" s="24"/>
      <c r="M213" s="24"/>
      <c r="P213" s="42">
        <f t="shared" si="3"/>
        <v>0</v>
      </c>
      <c r="Q213" s="8"/>
    </row>
    <row r="214" spans="1:17" ht="15" customHeight="1" x14ac:dyDescent="0.25">
      <c r="A214" s="5"/>
      <c r="B214" s="18" t="s">
        <v>183</v>
      </c>
      <c r="C214" s="43" t="s">
        <v>193</v>
      </c>
      <c r="D214" s="76">
        <f>COUNTIFS('TOTAL SUSPEK'!$F:$F,"Sarimulyo")</f>
        <v>0</v>
      </c>
      <c r="E214" s="22"/>
      <c r="F214" s="23"/>
      <c r="G214" s="23"/>
      <c r="H214" s="23"/>
      <c r="I214" s="23"/>
      <c r="J214" s="23"/>
      <c r="K214" s="24"/>
      <c r="L214" s="24"/>
      <c r="M214" s="24"/>
      <c r="P214" s="42">
        <f t="shared" si="3"/>
        <v>0</v>
      </c>
      <c r="Q214" s="8"/>
    </row>
    <row r="215" spans="1:17" ht="15" customHeight="1" x14ac:dyDescent="0.25">
      <c r="A215" s="5"/>
      <c r="B215" s="18" t="s">
        <v>183</v>
      </c>
      <c r="C215" s="43" t="s">
        <v>194</v>
      </c>
      <c r="D215" s="76">
        <f>COUNTIFS('TOTAL SUSPEK'!$F:$F,"Solowire")</f>
        <v>0</v>
      </c>
      <c r="E215" s="22"/>
      <c r="F215" s="23"/>
      <c r="G215" s="23"/>
      <c r="H215" s="23"/>
      <c r="I215" s="23"/>
      <c r="J215" s="23"/>
      <c r="K215" s="24"/>
      <c r="L215" s="24"/>
      <c r="M215" s="24"/>
      <c r="P215" s="42">
        <f t="shared" si="3"/>
        <v>0</v>
      </c>
      <c r="Q215" s="8"/>
    </row>
    <row r="216" spans="1:17" ht="15" customHeight="1" x14ac:dyDescent="0.25">
      <c r="A216" s="5"/>
      <c r="B216" s="18" t="s">
        <v>183</v>
      </c>
      <c r="C216" s="43" t="s">
        <v>195</v>
      </c>
      <c r="D216" s="76">
        <f>COUNTIFS('TOTAL SUSPEK'!$F:$F,"Mangunan Lor")</f>
        <v>0</v>
      </c>
      <c r="E216" s="22"/>
      <c r="F216" s="23"/>
      <c r="G216" s="23"/>
      <c r="H216" s="23"/>
      <c r="I216" s="23"/>
      <c r="J216" s="23"/>
      <c r="K216" s="24"/>
      <c r="L216" s="24"/>
      <c r="M216" s="24"/>
      <c r="P216" s="42">
        <f t="shared" si="3"/>
        <v>0</v>
      </c>
      <c r="Q216" s="8"/>
    </row>
    <row r="217" spans="1:17" x14ac:dyDescent="0.25">
      <c r="A217" s="5">
        <v>13</v>
      </c>
      <c r="B217" s="18" t="s">
        <v>196</v>
      </c>
      <c r="C217" s="43" t="s">
        <v>197</v>
      </c>
      <c r="D217" s="76">
        <f>COUNTIFS('TOTAL SUSPEK'!$F:$F,"Bedono")</f>
        <v>0</v>
      </c>
      <c r="E217" s="22" t="e">
        <f>SUM(#REF!)</f>
        <v>#REF!</v>
      </c>
      <c r="F217" s="22" t="e">
        <f>SUM(#REF!)</f>
        <v>#REF!</v>
      </c>
      <c r="G217" s="22" t="e">
        <f>SUM(#REF!)</f>
        <v>#REF!</v>
      </c>
      <c r="H217" s="22" t="e">
        <f>SUM(#REF!)</f>
        <v>#REF!</v>
      </c>
      <c r="I217" s="22" t="e">
        <f>SUM(#REF!)</f>
        <v>#REF!</v>
      </c>
      <c r="J217" s="22" t="e">
        <f>SUM(#REF!)</f>
        <v>#REF!</v>
      </c>
      <c r="K217" s="22" t="e">
        <f>SUM(#REF!)</f>
        <v>#REF!</v>
      </c>
      <c r="L217" s="22">
        <f>SUM(D217:D236)</f>
        <v>0</v>
      </c>
      <c r="M217" s="22" t="e">
        <f>SUM(#REF!)</f>
        <v>#REF!</v>
      </c>
      <c r="N217" s="41" t="s">
        <v>342</v>
      </c>
      <c r="P217" s="42">
        <f t="shared" si="3"/>
        <v>0</v>
      </c>
      <c r="Q217" s="142">
        <f>SUM(P217:P236)</f>
        <v>0</v>
      </c>
    </row>
    <row r="218" spans="1:17" x14ac:dyDescent="0.25">
      <c r="A218" s="5"/>
      <c r="B218" s="18" t="s">
        <v>196</v>
      </c>
      <c r="C218" s="43" t="s">
        <v>198</v>
      </c>
      <c r="D218" s="76">
        <f>COUNTIFS('TOTAL SUSPEK'!$F:$F,"Gemulak")</f>
        <v>0</v>
      </c>
      <c r="E218" s="22"/>
      <c r="F218" s="23"/>
      <c r="G218" s="23" t="s">
        <v>301</v>
      </c>
      <c r="H218" s="23"/>
      <c r="I218" s="23"/>
      <c r="J218" s="23"/>
      <c r="K218" s="24"/>
      <c r="L218" s="24"/>
      <c r="M218" s="24"/>
      <c r="N218" s="69" t="s">
        <v>343</v>
      </c>
      <c r="P218" s="42">
        <f t="shared" si="3"/>
        <v>0</v>
      </c>
      <c r="Q218" s="8"/>
    </row>
    <row r="219" spans="1:17" x14ac:dyDescent="0.25">
      <c r="A219" s="5"/>
      <c r="B219" s="18" t="s">
        <v>196</v>
      </c>
      <c r="C219" s="43" t="s">
        <v>199</v>
      </c>
      <c r="D219" s="76">
        <f>COUNTIFS('TOTAL SUSPEK'!$F:$F,"Sriwulan")</f>
        <v>0</v>
      </c>
      <c r="E219" s="22"/>
      <c r="F219" s="23"/>
      <c r="G219" s="23"/>
      <c r="H219" s="23"/>
      <c r="I219" s="23"/>
      <c r="J219" s="23"/>
      <c r="K219" s="24"/>
      <c r="L219" s="24"/>
      <c r="M219" s="24"/>
      <c r="N219" s="70" t="s">
        <v>338</v>
      </c>
      <c r="P219" s="42">
        <f t="shared" si="3"/>
        <v>0</v>
      </c>
      <c r="Q219" s="8"/>
    </row>
    <row r="220" spans="1:17" x14ac:dyDescent="0.25">
      <c r="A220" s="5"/>
      <c r="B220" s="18" t="s">
        <v>196</v>
      </c>
      <c r="C220" s="43" t="s">
        <v>200</v>
      </c>
      <c r="D220" s="76">
        <f>COUNTIFS('TOTAL SUSPEK'!$F:$F,"Tugu")</f>
        <v>0</v>
      </c>
      <c r="E220" s="22"/>
      <c r="F220" s="23"/>
      <c r="G220" s="23"/>
      <c r="H220" s="23"/>
      <c r="I220" s="23"/>
      <c r="J220" s="23"/>
      <c r="K220" s="24"/>
      <c r="L220" s="24"/>
      <c r="M220" s="24"/>
      <c r="N220" s="41" t="s">
        <v>396</v>
      </c>
      <c r="P220" s="42">
        <f t="shared" si="3"/>
        <v>0</v>
      </c>
      <c r="Q220" s="8"/>
    </row>
    <row r="221" spans="1:17" x14ac:dyDescent="0.25">
      <c r="A221" s="5"/>
      <c r="B221" s="18" t="s">
        <v>196</v>
      </c>
      <c r="C221" s="43" t="s">
        <v>201</v>
      </c>
      <c r="D221" s="76">
        <f>COUNTIFS('TOTAL SUSPEK'!$F:$F,"Purwosari")</f>
        <v>0</v>
      </c>
      <c r="E221" s="22"/>
      <c r="F221" s="23"/>
      <c r="G221" s="23"/>
      <c r="H221" s="23"/>
      <c r="I221" s="23"/>
      <c r="J221" s="23"/>
      <c r="K221" s="24"/>
      <c r="L221" s="24"/>
      <c r="M221" s="24"/>
      <c r="N221" s="70" t="s">
        <v>340</v>
      </c>
      <c r="P221" s="42">
        <f t="shared" si="3"/>
        <v>0</v>
      </c>
      <c r="Q221" s="8"/>
    </row>
    <row r="222" spans="1:17" x14ac:dyDescent="0.25">
      <c r="A222" s="5"/>
      <c r="B222" s="18" t="s">
        <v>196</v>
      </c>
      <c r="C222" s="43" t="s">
        <v>63</v>
      </c>
      <c r="D222" s="76">
        <f>COUNTIFS('TOTAL SUSPEK'!$F:$F,"surodadi",'TOTAL SUSPEK'!$E:$E,"sayung")</f>
        <v>0</v>
      </c>
      <c r="E222" s="22"/>
      <c r="F222" s="23"/>
      <c r="G222" s="23"/>
      <c r="H222" s="23"/>
      <c r="I222" s="23"/>
      <c r="J222" s="23"/>
      <c r="K222" s="24"/>
      <c r="L222" s="24"/>
      <c r="M222" s="24"/>
      <c r="N222" s="34" t="s">
        <v>353</v>
      </c>
      <c r="P222" s="42">
        <f t="shared" si="3"/>
        <v>0</v>
      </c>
      <c r="Q222" s="8"/>
    </row>
    <row r="223" spans="1:17" x14ac:dyDescent="0.25">
      <c r="A223" s="5"/>
      <c r="B223" s="18" t="s">
        <v>196</v>
      </c>
      <c r="C223" s="43" t="s">
        <v>165</v>
      </c>
      <c r="D223" s="76">
        <f>COUNTIFS('TOTAL SUSPEK'!$F:$F,"sidorejo",'TOTAL SUSPEK'!$E:$E,"sayung")</f>
        <v>0</v>
      </c>
      <c r="E223" s="22"/>
      <c r="F223" s="23"/>
      <c r="G223" s="23"/>
      <c r="H223" s="23"/>
      <c r="I223" s="23"/>
      <c r="J223" s="23"/>
      <c r="K223" s="24"/>
      <c r="L223" s="24"/>
      <c r="M223" s="24"/>
      <c r="N223" s="34" t="s">
        <v>353</v>
      </c>
      <c r="P223" s="42">
        <f t="shared" si="3"/>
        <v>0</v>
      </c>
      <c r="Q223" s="8"/>
    </row>
    <row r="224" spans="1:17" x14ac:dyDescent="0.25">
      <c r="A224" s="5"/>
      <c r="B224" s="18" t="s">
        <v>196</v>
      </c>
      <c r="C224" s="43" t="s">
        <v>202</v>
      </c>
      <c r="D224" s="76">
        <f>COUNTIFS('TOTAL SUSPEK'!$F:$F,"Timbulsloko")</f>
        <v>0</v>
      </c>
      <c r="E224" s="22"/>
      <c r="F224" s="23"/>
      <c r="G224" s="23"/>
      <c r="H224" s="23"/>
      <c r="I224" s="23"/>
      <c r="J224" s="23"/>
      <c r="K224" s="24"/>
      <c r="L224" s="24"/>
      <c r="M224" s="24"/>
      <c r="N224" s="70" t="s">
        <v>340</v>
      </c>
      <c r="P224" s="42">
        <f t="shared" si="3"/>
        <v>0</v>
      </c>
      <c r="Q224" s="8"/>
    </row>
    <row r="225" spans="1:17" x14ac:dyDescent="0.25">
      <c r="A225" s="5"/>
      <c r="B225" s="18" t="s">
        <v>196</v>
      </c>
      <c r="C225" s="43" t="s">
        <v>57</v>
      </c>
      <c r="D225" s="76">
        <f>COUNTIFS('TOTAL SUSPEK'!$F:$F,"banjarsari",'TOTAL SUSPEK'!$E:$E,"sayung")</f>
        <v>0</v>
      </c>
      <c r="E225" s="22"/>
      <c r="F225" s="23"/>
      <c r="G225" s="23"/>
      <c r="H225" s="23"/>
      <c r="I225" s="23"/>
      <c r="J225" s="23"/>
      <c r="K225" s="24"/>
      <c r="L225" s="24"/>
      <c r="M225" s="24"/>
      <c r="N225" s="41" t="s">
        <v>371</v>
      </c>
      <c r="P225" s="42">
        <f t="shared" si="3"/>
        <v>0</v>
      </c>
      <c r="Q225" s="8"/>
    </row>
    <row r="226" spans="1:17" x14ac:dyDescent="0.25">
      <c r="A226" s="5"/>
      <c r="B226" s="18" t="s">
        <v>196</v>
      </c>
      <c r="C226" s="43" t="s">
        <v>203</v>
      </c>
      <c r="D226" s="76">
        <f>COUNTIFS('TOTAL SUSPEK'!$F:$F,"sidogemah")</f>
        <v>0</v>
      </c>
      <c r="E226" s="22"/>
      <c r="F226" s="23"/>
      <c r="G226" s="23"/>
      <c r="H226" s="23"/>
      <c r="I226" s="23"/>
      <c r="J226" s="23"/>
      <c r="K226" s="24"/>
      <c r="L226" s="24"/>
      <c r="M226" s="24"/>
      <c r="N226" s="70" t="s">
        <v>341</v>
      </c>
      <c r="P226" s="42">
        <f t="shared" si="3"/>
        <v>0</v>
      </c>
      <c r="Q226" s="8"/>
    </row>
    <row r="227" spans="1:17" x14ac:dyDescent="0.25">
      <c r="A227" s="5"/>
      <c r="B227" s="18" t="s">
        <v>196</v>
      </c>
      <c r="C227" s="43" t="s">
        <v>204</v>
      </c>
      <c r="D227" s="76">
        <f>COUNTIFS('TOTAL SUSPEK'!$F:$F,"Tambakroto")</f>
        <v>0</v>
      </c>
      <c r="E227" s="22"/>
      <c r="F227" s="23"/>
      <c r="G227" s="23"/>
      <c r="H227" s="23"/>
      <c r="I227" s="23"/>
      <c r="J227" s="23"/>
      <c r="K227" s="24"/>
      <c r="L227" s="24"/>
      <c r="M227" s="24"/>
      <c r="N227" s="70" t="s">
        <v>340</v>
      </c>
      <c r="P227" s="42">
        <f t="shared" si="3"/>
        <v>0</v>
      </c>
      <c r="Q227" s="8"/>
    </row>
    <row r="228" spans="1:17" x14ac:dyDescent="0.25">
      <c r="A228" s="5"/>
      <c r="B228" s="18" t="s">
        <v>196</v>
      </c>
      <c r="C228" s="43" t="s">
        <v>205</v>
      </c>
      <c r="D228" s="76">
        <f>COUNTIFS('TOTAL SUSPEK'!$F:$F,"Kalisari")</f>
        <v>0</v>
      </c>
      <c r="E228" s="22"/>
      <c r="F228" s="23"/>
      <c r="G228" s="23"/>
      <c r="H228" s="23"/>
      <c r="I228" s="23"/>
      <c r="J228" s="23"/>
      <c r="K228" s="24"/>
      <c r="L228" s="24"/>
      <c r="M228" s="24"/>
      <c r="P228" s="42">
        <f t="shared" si="3"/>
        <v>0</v>
      </c>
      <c r="Q228" s="8"/>
    </row>
    <row r="229" spans="1:17" x14ac:dyDescent="0.25">
      <c r="A229" s="5"/>
      <c r="B229" s="18" t="s">
        <v>196</v>
      </c>
      <c r="C229" s="43" t="s">
        <v>206</v>
      </c>
      <c r="D229" s="76">
        <f>COUNTIFS('TOTAL SUSPEK'!$F:$F,"Dombo")</f>
        <v>0</v>
      </c>
      <c r="E229" s="22"/>
      <c r="F229" s="23"/>
      <c r="G229" s="23"/>
      <c r="H229" s="23"/>
      <c r="I229" s="23"/>
      <c r="J229" s="23"/>
      <c r="K229" s="24"/>
      <c r="L229" s="24"/>
      <c r="M229" s="24"/>
      <c r="P229" s="42">
        <f t="shared" si="3"/>
        <v>0</v>
      </c>
      <c r="Q229" s="8"/>
    </row>
    <row r="230" spans="1:17" x14ac:dyDescent="0.25">
      <c r="A230" s="5"/>
      <c r="B230" s="18" t="s">
        <v>196</v>
      </c>
      <c r="C230" s="43" t="s">
        <v>207</v>
      </c>
      <c r="D230" s="76">
        <f>COUNTIFS('TOTAL SUSPEK'!$F:$F,"Bulusari")</f>
        <v>0</v>
      </c>
      <c r="E230" s="22"/>
      <c r="F230" s="23"/>
      <c r="G230" s="23"/>
      <c r="H230" s="23"/>
      <c r="I230" s="23"/>
      <c r="J230" s="23"/>
      <c r="K230" s="24"/>
      <c r="L230" s="24"/>
      <c r="M230" s="24"/>
      <c r="P230" s="42">
        <f t="shared" si="3"/>
        <v>0</v>
      </c>
      <c r="Q230" s="8"/>
    </row>
    <row r="231" spans="1:17" x14ac:dyDescent="0.25">
      <c r="A231" s="5"/>
      <c r="B231" s="18" t="s">
        <v>196</v>
      </c>
      <c r="C231" s="43" t="s">
        <v>208</v>
      </c>
      <c r="D231" s="76">
        <f>COUNTIFS('TOTAL SUSPEK'!$F:$F,"Jetaksari")</f>
        <v>0</v>
      </c>
      <c r="E231" s="22"/>
      <c r="F231" s="23"/>
      <c r="G231" s="23"/>
      <c r="H231" s="23"/>
      <c r="I231" s="23"/>
      <c r="J231" s="23"/>
      <c r="K231" s="24"/>
      <c r="L231" s="24"/>
      <c r="M231" s="24"/>
      <c r="P231" s="42">
        <f t="shared" si="3"/>
        <v>0</v>
      </c>
      <c r="Q231" s="8"/>
    </row>
    <row r="232" spans="1:17" x14ac:dyDescent="0.25">
      <c r="A232" s="5"/>
      <c r="B232" s="18" t="s">
        <v>196</v>
      </c>
      <c r="C232" s="43" t="s">
        <v>209</v>
      </c>
      <c r="D232" s="76">
        <f>COUNTIFS('TOTAL SUSPEK'!$F:$F,"Karangasem")</f>
        <v>0</v>
      </c>
      <c r="E232" s="22"/>
      <c r="F232" s="23"/>
      <c r="G232" s="23"/>
      <c r="H232" s="23"/>
      <c r="I232" s="23"/>
      <c r="J232" s="23"/>
      <c r="K232" s="24"/>
      <c r="L232" s="24"/>
      <c r="M232" s="24"/>
      <c r="P232" s="42">
        <f t="shared" si="3"/>
        <v>0</v>
      </c>
      <c r="Q232" s="8"/>
    </row>
    <row r="233" spans="1:17" x14ac:dyDescent="0.25">
      <c r="A233" s="5"/>
      <c r="B233" s="18" t="s">
        <v>196</v>
      </c>
      <c r="C233" s="43" t="s">
        <v>210</v>
      </c>
      <c r="D233" s="76">
        <f>COUNTIFS('TOTAL SUSPEK'!$F:$F,"Prampelan")</f>
        <v>0</v>
      </c>
      <c r="E233" s="22"/>
      <c r="F233" s="23"/>
      <c r="G233" s="23"/>
      <c r="H233" s="23"/>
      <c r="I233" s="23"/>
      <c r="J233" s="23"/>
      <c r="K233" s="24"/>
      <c r="L233" s="24"/>
      <c r="M233" s="24"/>
      <c r="P233" s="42">
        <f t="shared" si="3"/>
        <v>0</v>
      </c>
      <c r="Q233" s="8"/>
    </row>
    <row r="234" spans="1:17" x14ac:dyDescent="0.25">
      <c r="A234" s="5"/>
      <c r="B234" s="18" t="s">
        <v>196</v>
      </c>
      <c r="C234" s="43" t="s">
        <v>211</v>
      </c>
      <c r="D234" s="76">
        <f>COUNTIFS('TOTAL SUSPEK'!$F:$F,"Sayung")</f>
        <v>0</v>
      </c>
      <c r="E234" s="22"/>
      <c r="F234" s="23"/>
      <c r="G234" s="23"/>
      <c r="H234" s="23"/>
      <c r="I234" s="23"/>
      <c r="J234" s="23"/>
      <c r="K234" s="24"/>
      <c r="L234" s="24"/>
      <c r="M234" s="24"/>
      <c r="P234" s="42">
        <f t="shared" si="3"/>
        <v>0</v>
      </c>
      <c r="Q234" s="8"/>
    </row>
    <row r="235" spans="1:17" x14ac:dyDescent="0.25">
      <c r="A235" s="5"/>
      <c r="B235" s="18" t="s">
        <v>196</v>
      </c>
      <c r="C235" s="43" t="s">
        <v>212</v>
      </c>
      <c r="D235" s="76">
        <f>COUNTIFS('TOTAL SUSPEK'!$F:$F,"Pilangsari")</f>
        <v>0</v>
      </c>
      <c r="E235" s="22"/>
      <c r="F235" s="23"/>
      <c r="G235" s="23"/>
      <c r="H235" s="23"/>
      <c r="I235" s="23"/>
      <c r="J235" s="23"/>
      <c r="K235" s="24"/>
      <c r="L235" s="24"/>
      <c r="M235" s="24"/>
      <c r="P235" s="42">
        <f t="shared" si="3"/>
        <v>0</v>
      </c>
      <c r="Q235" s="8"/>
    </row>
    <row r="236" spans="1:17" x14ac:dyDescent="0.25">
      <c r="A236" s="5"/>
      <c r="B236" s="18" t="s">
        <v>196</v>
      </c>
      <c r="C236" s="43" t="s">
        <v>213</v>
      </c>
      <c r="D236" s="76">
        <f>COUNTIFS('TOTAL SUSPEK'!$F:$F,"loireng")</f>
        <v>0</v>
      </c>
      <c r="E236" s="22"/>
      <c r="F236" s="23"/>
      <c r="G236" s="23"/>
      <c r="H236" s="23"/>
      <c r="I236" s="23"/>
      <c r="J236" s="23"/>
      <c r="K236" s="24"/>
      <c r="L236" s="24"/>
      <c r="M236" s="24"/>
      <c r="P236" s="42">
        <f t="shared" si="3"/>
        <v>0</v>
      </c>
      <c r="Q236" s="8"/>
    </row>
    <row r="237" spans="1:17" x14ac:dyDescent="0.25">
      <c r="A237" s="5">
        <v>14</v>
      </c>
      <c r="B237" s="18" t="s">
        <v>214</v>
      </c>
      <c r="C237" s="43" t="s">
        <v>214</v>
      </c>
      <c r="D237" s="76">
        <f>COUNTIFS('TOTAL SUSPEK'!$F:$F,"Wedung")</f>
        <v>0</v>
      </c>
      <c r="E237" s="22" t="e">
        <f>SUM(#REF!)</f>
        <v>#REF!</v>
      </c>
      <c r="F237" s="22" t="e">
        <f>SUM(#REF!)</f>
        <v>#REF!</v>
      </c>
      <c r="G237" s="22" t="e">
        <f>SUM(#REF!)</f>
        <v>#REF!</v>
      </c>
      <c r="H237" s="22" t="e">
        <f>SUM(#REF!)</f>
        <v>#REF!</v>
      </c>
      <c r="I237" s="22" t="e">
        <f>SUM(#REF!)</f>
        <v>#REF!</v>
      </c>
      <c r="J237" s="22" t="e">
        <f>SUM(#REF!)</f>
        <v>#REF!</v>
      </c>
      <c r="K237" s="22" t="e">
        <f>SUM(#REF!)</f>
        <v>#REF!</v>
      </c>
      <c r="L237" s="22">
        <f>SUM(D237:D256)</f>
        <v>0</v>
      </c>
      <c r="M237" s="22" t="e">
        <f>SUM(#REF!)</f>
        <v>#REF!</v>
      </c>
      <c r="P237" s="42">
        <f t="shared" si="3"/>
        <v>0</v>
      </c>
      <c r="Q237" s="142">
        <f>SUM(P237:P256)</f>
        <v>0</v>
      </c>
    </row>
    <row r="238" spans="1:17" x14ac:dyDescent="0.25">
      <c r="A238" s="5"/>
      <c r="B238" s="18" t="s">
        <v>214</v>
      </c>
      <c r="C238" s="43" t="s">
        <v>215</v>
      </c>
      <c r="D238" s="76">
        <f>COUNTIFS('TOTAL SUSPEK'!$F:$F,"Ruwit")</f>
        <v>0</v>
      </c>
      <c r="E238" s="22"/>
      <c r="F238" s="23"/>
      <c r="G238" s="23"/>
      <c r="H238" s="23"/>
      <c r="I238" s="23"/>
      <c r="J238" s="23"/>
      <c r="K238" s="24"/>
      <c r="L238" s="24"/>
      <c r="M238" s="24"/>
      <c r="P238" s="42">
        <f t="shared" si="3"/>
        <v>0</v>
      </c>
      <c r="Q238" s="8"/>
    </row>
    <row r="239" spans="1:17" x14ac:dyDescent="0.25">
      <c r="A239" s="5"/>
      <c r="B239" s="18" t="s">
        <v>214</v>
      </c>
      <c r="C239" s="43" t="s">
        <v>216</v>
      </c>
      <c r="D239" s="76">
        <f>COUNTIFS('TOTAL SUSPEK'!$F:$F,"Bungo")</f>
        <v>0</v>
      </c>
      <c r="E239" s="22"/>
      <c r="F239" s="23"/>
      <c r="G239" s="23"/>
      <c r="H239" s="23"/>
      <c r="I239" s="23"/>
      <c r="J239" s="23"/>
      <c r="K239" s="24"/>
      <c r="L239" s="24"/>
      <c r="M239" s="24"/>
      <c r="P239" s="42">
        <f t="shared" si="3"/>
        <v>0</v>
      </c>
      <c r="Q239" s="8"/>
    </row>
    <row r="240" spans="1:17" x14ac:dyDescent="0.25">
      <c r="A240" s="5"/>
      <c r="B240" s="18" t="s">
        <v>214</v>
      </c>
      <c r="C240" s="43" t="s">
        <v>217</v>
      </c>
      <c r="D240" s="76">
        <f>COUNTIFS('TOTAL SUSPEK'!$F:$F,"Ngawen")</f>
        <v>0</v>
      </c>
      <c r="E240" s="22"/>
      <c r="F240" s="23"/>
      <c r="G240" s="23"/>
      <c r="H240" s="23"/>
      <c r="I240" s="23"/>
      <c r="J240" s="23"/>
      <c r="K240" s="24"/>
      <c r="L240" s="24"/>
      <c r="M240" s="24"/>
      <c r="P240" s="42">
        <f t="shared" si="3"/>
        <v>0</v>
      </c>
      <c r="Q240" s="8"/>
    </row>
    <row r="241" spans="1:17" x14ac:dyDescent="0.25">
      <c r="A241" s="5"/>
      <c r="B241" s="18" t="s">
        <v>214</v>
      </c>
      <c r="C241" s="43" t="s">
        <v>218</v>
      </c>
      <c r="D241" s="76">
        <f>COUNTIFS('TOTAL SUSPEK'!$F:$F,"Kenduren")</f>
        <v>0</v>
      </c>
      <c r="E241" s="22"/>
      <c r="F241" s="23"/>
      <c r="G241" s="23"/>
      <c r="H241" s="23"/>
      <c r="I241" s="23"/>
      <c r="J241" s="23"/>
      <c r="K241" s="24"/>
      <c r="L241" s="24"/>
      <c r="M241" s="24"/>
      <c r="P241" s="42">
        <f t="shared" si="3"/>
        <v>0</v>
      </c>
      <c r="Q241" s="8"/>
    </row>
    <row r="242" spans="1:17" x14ac:dyDescent="0.25">
      <c r="A242" s="5"/>
      <c r="B242" s="18" t="s">
        <v>214</v>
      </c>
      <c r="C242" s="43" t="s">
        <v>219</v>
      </c>
      <c r="D242" s="76">
        <f>COUNTIFS('TOTAL SUSPEK'!$F:$F,"Buko")</f>
        <v>0</v>
      </c>
      <c r="E242" s="22"/>
      <c r="F242" s="23"/>
      <c r="G242" s="23"/>
      <c r="H242" s="23"/>
      <c r="I242" s="23"/>
      <c r="J242" s="23"/>
      <c r="K242" s="24"/>
      <c r="L242" s="24"/>
      <c r="M242" s="24"/>
      <c r="P242" s="42">
        <f t="shared" si="3"/>
        <v>0</v>
      </c>
      <c r="Q242" s="8"/>
    </row>
    <row r="243" spans="1:17" x14ac:dyDescent="0.25">
      <c r="A243" s="5"/>
      <c r="B243" s="18" t="s">
        <v>214</v>
      </c>
      <c r="C243" s="43" t="s">
        <v>220</v>
      </c>
      <c r="D243" s="76">
        <f>COUNTIFS('TOTAL SUSPEK'!$F:$F,"Mandung")</f>
        <v>0</v>
      </c>
      <c r="E243" s="22"/>
      <c r="F243" s="23"/>
      <c r="G243" s="23"/>
      <c r="H243" s="23"/>
      <c r="I243" s="23"/>
      <c r="J243" s="23"/>
      <c r="K243" s="24"/>
      <c r="L243" s="24"/>
      <c r="M243" s="24"/>
      <c r="P243" s="42">
        <f t="shared" si="3"/>
        <v>0</v>
      </c>
      <c r="Q243" s="8"/>
    </row>
    <row r="244" spans="1:17" x14ac:dyDescent="0.25">
      <c r="A244" s="5"/>
      <c r="B244" s="18" t="s">
        <v>214</v>
      </c>
      <c r="C244" s="43" t="s">
        <v>221</v>
      </c>
      <c r="D244" s="76">
        <f>COUNTIFS('TOTAL SUSPEK'!$F:$F,"Berahan Wetan")</f>
        <v>0</v>
      </c>
      <c r="E244" s="22"/>
      <c r="F244" s="23"/>
      <c r="G244" s="23"/>
      <c r="H244" s="23"/>
      <c r="I244" s="23"/>
      <c r="J244" s="23"/>
      <c r="K244" s="24"/>
      <c r="L244" s="24"/>
      <c r="M244" s="24"/>
      <c r="P244" s="42">
        <f t="shared" si="3"/>
        <v>0</v>
      </c>
      <c r="Q244" s="8"/>
    </row>
    <row r="245" spans="1:17" x14ac:dyDescent="0.25">
      <c r="A245" s="5"/>
      <c r="B245" s="18" t="s">
        <v>214</v>
      </c>
      <c r="C245" s="43" t="s">
        <v>222</v>
      </c>
      <c r="D245" s="76">
        <f>COUNTIFS('TOTAL SUSPEK'!$F:$F,"Berahan Kulon")</f>
        <v>0</v>
      </c>
      <c r="E245" s="22"/>
      <c r="F245" s="23"/>
      <c r="G245" s="23"/>
      <c r="H245" s="23"/>
      <c r="I245" s="23"/>
      <c r="J245" s="23"/>
      <c r="K245" s="24"/>
      <c r="L245" s="24"/>
      <c r="M245" s="24"/>
      <c r="P245" s="42">
        <f t="shared" si="3"/>
        <v>0</v>
      </c>
      <c r="Q245" s="8"/>
    </row>
    <row r="246" spans="1:17" x14ac:dyDescent="0.25">
      <c r="A246" s="5"/>
      <c r="B246" s="18" t="s">
        <v>214</v>
      </c>
      <c r="C246" s="43" t="s">
        <v>223</v>
      </c>
      <c r="D246" s="76">
        <f>COUNTIFS('TOTAL SUSPEK'!$F:$F,"Tempel")</f>
        <v>0</v>
      </c>
      <c r="E246" s="22"/>
      <c r="F246" s="23"/>
      <c r="G246" s="23"/>
      <c r="H246" s="23"/>
      <c r="I246" s="23"/>
      <c r="J246" s="23"/>
      <c r="K246" s="24"/>
      <c r="L246" s="24"/>
      <c r="M246" s="24"/>
      <c r="P246" s="42">
        <f t="shared" si="3"/>
        <v>0</v>
      </c>
      <c r="Q246" s="8"/>
    </row>
    <row r="247" spans="1:17" x14ac:dyDescent="0.25">
      <c r="A247" s="5"/>
      <c r="B247" s="18" t="s">
        <v>214</v>
      </c>
      <c r="C247" s="43" t="s">
        <v>279</v>
      </c>
      <c r="D247" s="76">
        <f>COUNTIFS('TOTAL SUSPEK'!$F:$F,"Kedungkarang")</f>
        <v>0</v>
      </c>
      <c r="E247" s="22"/>
      <c r="F247" s="23"/>
      <c r="G247" s="23"/>
      <c r="H247" s="23"/>
      <c r="I247" s="23"/>
      <c r="J247" s="23"/>
      <c r="K247" s="24"/>
      <c r="L247" s="24"/>
      <c r="M247" s="24"/>
      <c r="P247" s="42">
        <f t="shared" si="3"/>
        <v>0</v>
      </c>
      <c r="Q247" s="8"/>
    </row>
    <row r="248" spans="1:17" x14ac:dyDescent="0.25">
      <c r="A248" s="5"/>
      <c r="B248" s="18" t="s">
        <v>214</v>
      </c>
      <c r="C248" s="43" t="s">
        <v>278</v>
      </c>
      <c r="D248" s="76">
        <f>COUNTIFS('TOTAL SUSPEK'!$F:$F,"Kedungmutih")</f>
        <v>0</v>
      </c>
      <c r="E248" s="22"/>
      <c r="F248" s="23"/>
      <c r="G248" s="23"/>
      <c r="H248" s="23"/>
      <c r="I248" s="23"/>
      <c r="J248" s="23"/>
      <c r="K248" s="24"/>
      <c r="L248" s="24"/>
      <c r="M248" s="24"/>
      <c r="P248" s="42">
        <f t="shared" si="3"/>
        <v>0</v>
      </c>
      <c r="Q248" s="8"/>
    </row>
    <row r="249" spans="1:17" x14ac:dyDescent="0.25">
      <c r="A249" s="5"/>
      <c r="B249" s="18" t="s">
        <v>214</v>
      </c>
      <c r="C249" s="43" t="s">
        <v>224</v>
      </c>
      <c r="D249" s="76">
        <f>COUNTIFS('TOTAL SUSPEK'!$F:$F,"Jungsemi")</f>
        <v>0</v>
      </c>
      <c r="E249" s="22"/>
      <c r="F249" s="23"/>
      <c r="G249" s="23"/>
      <c r="H249" s="23"/>
      <c r="I249" s="23"/>
      <c r="J249" s="23"/>
      <c r="K249" s="24"/>
      <c r="L249" s="24"/>
      <c r="M249" s="24"/>
      <c r="P249" s="42">
        <f t="shared" si="3"/>
        <v>0</v>
      </c>
      <c r="Q249" s="8"/>
    </row>
    <row r="250" spans="1:17" x14ac:dyDescent="0.25">
      <c r="A250" s="5"/>
      <c r="B250" s="18" t="s">
        <v>214</v>
      </c>
      <c r="C250" s="43" t="s">
        <v>225</v>
      </c>
      <c r="D250" s="76">
        <f>COUNTIFS('TOTAL SUSPEK'!$F:$F,"Jetak")</f>
        <v>0</v>
      </c>
      <c r="E250" s="22"/>
      <c r="F250" s="23"/>
      <c r="G250" s="23"/>
      <c r="H250" s="23"/>
      <c r="I250" s="23"/>
      <c r="J250" s="23"/>
      <c r="K250" s="24"/>
      <c r="L250" s="24"/>
      <c r="M250" s="24"/>
      <c r="P250" s="42">
        <f t="shared" si="3"/>
        <v>0</v>
      </c>
      <c r="Q250" s="8"/>
    </row>
    <row r="251" spans="1:17" x14ac:dyDescent="0.25">
      <c r="A251" s="5"/>
      <c r="B251" s="18" t="s">
        <v>214</v>
      </c>
      <c r="C251" s="43" t="s">
        <v>226</v>
      </c>
      <c r="D251" s="76">
        <f>COUNTIFS('TOTAL SUSPEK'!$F:$F,"Jungpasir")</f>
        <v>0</v>
      </c>
      <c r="E251" s="22"/>
      <c r="F251" s="23"/>
      <c r="G251" s="23"/>
      <c r="H251" s="23"/>
      <c r="I251" s="23"/>
      <c r="J251" s="23"/>
      <c r="K251" s="24"/>
      <c r="L251" s="24"/>
      <c r="M251" s="24"/>
      <c r="P251" s="42">
        <f t="shared" si="3"/>
        <v>0</v>
      </c>
      <c r="Q251" s="8"/>
    </row>
    <row r="252" spans="1:17" x14ac:dyDescent="0.25">
      <c r="A252" s="5"/>
      <c r="B252" s="18" t="s">
        <v>214</v>
      </c>
      <c r="C252" s="43" t="s">
        <v>227</v>
      </c>
      <c r="D252" s="76">
        <f>COUNTIFS('TOTAL SUSPEK'!$F:$F,"Mutih kulon")</f>
        <v>0</v>
      </c>
      <c r="E252" s="22"/>
      <c r="F252" s="23"/>
      <c r="G252" s="23"/>
      <c r="H252" s="23"/>
      <c r="I252" s="23"/>
      <c r="J252" s="23"/>
      <c r="K252" s="24"/>
      <c r="L252" s="24"/>
      <c r="M252" s="24"/>
      <c r="P252" s="42">
        <f t="shared" si="3"/>
        <v>0</v>
      </c>
      <c r="Q252" s="8"/>
    </row>
    <row r="253" spans="1:17" x14ac:dyDescent="0.25">
      <c r="A253" s="5"/>
      <c r="B253" s="18" t="s">
        <v>214</v>
      </c>
      <c r="C253" s="43" t="s">
        <v>228</v>
      </c>
      <c r="D253" s="76">
        <f>COUNTIFS('TOTAL SUSPEK'!$F:$F,"Mutih Wetan")</f>
        <v>0</v>
      </c>
      <c r="E253" s="22"/>
      <c r="F253" s="23"/>
      <c r="G253" s="23"/>
      <c r="H253" s="23"/>
      <c r="I253" s="23"/>
      <c r="J253" s="23"/>
      <c r="K253" s="24"/>
      <c r="L253" s="24"/>
      <c r="M253" s="24"/>
      <c r="P253" s="42">
        <f t="shared" si="3"/>
        <v>0</v>
      </c>
      <c r="Q253" s="8"/>
    </row>
    <row r="254" spans="1:17" x14ac:dyDescent="0.25">
      <c r="A254" s="5"/>
      <c r="B254" s="18" t="s">
        <v>214</v>
      </c>
      <c r="C254" s="43" t="s">
        <v>229</v>
      </c>
      <c r="D254" s="76">
        <f>COUNTIFS('TOTAL SUSPEK'!$F:$F,"Kendalasem")</f>
        <v>0</v>
      </c>
      <c r="E254" s="22"/>
      <c r="F254" s="23"/>
      <c r="G254" s="23"/>
      <c r="H254" s="23"/>
      <c r="I254" s="23"/>
      <c r="J254" s="23"/>
      <c r="K254" s="24"/>
      <c r="L254" s="24"/>
      <c r="M254" s="24"/>
      <c r="P254" s="42">
        <f t="shared" si="3"/>
        <v>0</v>
      </c>
      <c r="Q254" s="8"/>
    </row>
    <row r="255" spans="1:17" x14ac:dyDescent="0.25">
      <c r="A255" s="5"/>
      <c r="B255" s="18" t="s">
        <v>214</v>
      </c>
      <c r="C255" s="43" t="s">
        <v>230</v>
      </c>
      <c r="D255" s="76">
        <f>COUNTIFS('TOTAL SUSPEK'!$F:$F,"Babalan")</f>
        <v>0</v>
      </c>
      <c r="E255" s="22"/>
      <c r="F255" s="23"/>
      <c r="G255" s="23"/>
      <c r="H255" s="23"/>
      <c r="I255" s="23"/>
      <c r="J255" s="23"/>
      <c r="K255" s="24"/>
      <c r="L255" s="24"/>
      <c r="M255" s="24"/>
      <c r="P255" s="42">
        <f t="shared" si="3"/>
        <v>0</v>
      </c>
      <c r="Q255" s="8"/>
    </row>
    <row r="256" spans="1:17" x14ac:dyDescent="0.25">
      <c r="A256" s="5"/>
      <c r="B256" s="18" t="s">
        <v>214</v>
      </c>
      <c r="C256" s="43" t="s">
        <v>231</v>
      </c>
      <c r="D256" s="76">
        <f>COUNTIFS('TOTAL SUSPEK'!$F:$F,"Tedunan")</f>
        <v>0</v>
      </c>
      <c r="E256" s="22"/>
      <c r="F256" s="23"/>
      <c r="G256" s="23"/>
      <c r="H256" s="23"/>
      <c r="I256" s="23"/>
      <c r="J256" s="23"/>
      <c r="K256" s="24"/>
      <c r="L256" s="24"/>
      <c r="M256" s="24"/>
      <c r="P256" s="42">
        <f t="shared" si="3"/>
        <v>0</v>
      </c>
      <c r="Q256" s="8"/>
    </row>
    <row r="257" spans="1:17" x14ac:dyDescent="0.25">
      <c r="A257" s="17"/>
      <c r="B257" s="2" t="s">
        <v>294</v>
      </c>
      <c r="C257" s="60"/>
      <c r="D257" s="16">
        <v>0</v>
      </c>
      <c r="E257" s="27" t="e">
        <f>#REF!</f>
        <v>#REF!</v>
      </c>
      <c r="F257" s="27" t="e">
        <f>#REF!</f>
        <v>#REF!</v>
      </c>
      <c r="G257" s="27" t="e">
        <f>#REF!</f>
        <v>#REF!</v>
      </c>
      <c r="H257" s="27" t="e">
        <f>#REF!</f>
        <v>#REF!</v>
      </c>
      <c r="I257" s="27" t="e">
        <f>#REF!</f>
        <v>#REF!</v>
      </c>
      <c r="J257" s="27" t="e">
        <f>#REF!</f>
        <v>#REF!</v>
      </c>
      <c r="K257" s="27" t="e">
        <f>#REF!</f>
        <v>#REF!</v>
      </c>
      <c r="L257" s="27">
        <f>D257</f>
        <v>0</v>
      </c>
      <c r="M257" s="27" t="e">
        <f>#REF!</f>
        <v>#REF!</v>
      </c>
      <c r="P257" s="42">
        <f t="shared" si="3"/>
        <v>0</v>
      </c>
      <c r="Q257" s="8">
        <f>D257</f>
        <v>0</v>
      </c>
    </row>
    <row r="258" spans="1:17" ht="15" customHeight="1" x14ac:dyDescent="0.25">
      <c r="A258" s="124" t="s">
        <v>232</v>
      </c>
      <c r="B258" s="125"/>
      <c r="C258" s="44"/>
      <c r="D258" s="31">
        <f>SUM(D8:D257)</f>
        <v>1</v>
      </c>
      <c r="E258" s="25" t="e">
        <f t="shared" ref="E258:M258" si="4">SUM(E8:E257)</f>
        <v>#REF!</v>
      </c>
      <c r="F258" s="25" t="e">
        <f t="shared" si="4"/>
        <v>#REF!</v>
      </c>
      <c r="G258" s="25" t="e">
        <f t="shared" si="4"/>
        <v>#REF!</v>
      </c>
      <c r="H258" s="25" t="e">
        <f t="shared" si="4"/>
        <v>#REF!</v>
      </c>
      <c r="I258" s="25" t="e">
        <f t="shared" si="4"/>
        <v>#REF!</v>
      </c>
      <c r="J258" s="25" t="e">
        <f t="shared" si="4"/>
        <v>#REF!</v>
      </c>
      <c r="K258" s="25" t="e">
        <f t="shared" si="4"/>
        <v>#REF!</v>
      </c>
      <c r="L258" s="25">
        <f t="shared" si="4"/>
        <v>1</v>
      </c>
      <c r="M258" s="25" t="e">
        <f t="shared" si="4"/>
        <v>#REF!</v>
      </c>
      <c r="O258" s="26">
        <f>SUM(O8:O257)</f>
        <v>0</v>
      </c>
      <c r="P258" s="45">
        <f>SUM(P8:P257)</f>
        <v>1</v>
      </c>
      <c r="Q258" s="31">
        <f>SUM(Q8:Q257)</f>
        <v>1</v>
      </c>
    </row>
    <row r="259" spans="1:17" ht="15" customHeight="1" x14ac:dyDescent="0.25">
      <c r="A259" s="10"/>
      <c r="B259" s="3"/>
      <c r="C259" s="13"/>
      <c r="D259" s="13"/>
    </row>
    <row r="260" spans="1:17" ht="15" customHeight="1" x14ac:dyDescent="0.25">
      <c r="A260" s="4"/>
      <c r="B260" s="9"/>
    </row>
    <row r="261" spans="1:17" ht="15" customHeight="1" x14ac:dyDescent="0.25">
      <c r="A261" s="4"/>
    </row>
    <row r="262" spans="1:17" x14ac:dyDescent="0.25">
      <c r="A262" s="4"/>
    </row>
    <row r="263" spans="1:17" x14ac:dyDescent="0.25">
      <c r="A263" s="4"/>
    </row>
    <row r="264" spans="1:17" x14ac:dyDescent="0.25">
      <c r="A264" s="4"/>
    </row>
    <row r="265" spans="1:17" x14ac:dyDescent="0.25">
      <c r="A265" s="4"/>
    </row>
    <row r="266" spans="1:17" x14ac:dyDescent="0.25">
      <c r="A266" s="4"/>
      <c r="D266" s="13"/>
    </row>
    <row r="267" spans="1:17" x14ac:dyDescent="0.25">
      <c r="A267" s="4"/>
    </row>
    <row r="268" spans="1:17" x14ac:dyDescent="0.25">
      <c r="A268" s="4"/>
    </row>
    <row r="269" spans="1:17" x14ac:dyDescent="0.25">
      <c r="A269" s="4"/>
    </row>
    <row r="270" spans="1:17" x14ac:dyDescent="0.25">
      <c r="A270" s="4"/>
    </row>
    <row r="271" spans="1:17" x14ac:dyDescent="0.25">
      <c r="A271" s="4"/>
    </row>
    <row r="272" spans="1:17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2" x14ac:dyDescent="0.25">
      <c r="A305" s="4"/>
    </row>
    <row r="306" spans="1:2" x14ac:dyDescent="0.25">
      <c r="A306" s="4"/>
    </row>
    <row r="307" spans="1:2" x14ac:dyDescent="0.25">
      <c r="A307" s="4"/>
    </row>
    <row r="308" spans="1:2" x14ac:dyDescent="0.25">
      <c r="A308" s="4"/>
    </row>
    <row r="309" spans="1:2" x14ac:dyDescent="0.25">
      <c r="A309" s="4"/>
    </row>
    <row r="310" spans="1:2" x14ac:dyDescent="0.25">
      <c r="A310" s="4"/>
    </row>
    <row r="311" spans="1:2" x14ac:dyDescent="0.25">
      <c r="A311" s="4"/>
    </row>
    <row r="312" spans="1:2" x14ac:dyDescent="0.25">
      <c r="A312" s="4"/>
    </row>
    <row r="313" spans="1:2" x14ac:dyDescent="0.25">
      <c r="A313" s="4"/>
    </row>
    <row r="314" spans="1:2" x14ac:dyDescent="0.25">
      <c r="A314" s="4"/>
    </row>
    <row r="315" spans="1:2" x14ac:dyDescent="0.25">
      <c r="A315" s="4"/>
    </row>
    <row r="316" spans="1:2" x14ac:dyDescent="0.25">
      <c r="A316" s="4"/>
    </row>
    <row r="317" spans="1:2" x14ac:dyDescent="0.25">
      <c r="A317" s="4"/>
    </row>
    <row r="318" spans="1:2" x14ac:dyDescent="0.25">
      <c r="A318" s="4"/>
      <c r="B318" t="s">
        <v>233</v>
      </c>
    </row>
    <row r="319" spans="1:2" x14ac:dyDescent="0.25">
      <c r="A319" s="4"/>
    </row>
    <row r="320" spans="1:2" x14ac:dyDescent="0.25">
      <c r="A320" s="5" t="s">
        <v>1</v>
      </c>
      <c r="B320" s="6" t="s">
        <v>234</v>
      </c>
    </row>
    <row r="321" spans="1:2" x14ac:dyDescent="0.25">
      <c r="A321" s="7" t="s">
        <v>235</v>
      </c>
      <c r="B321" s="8" t="s">
        <v>236</v>
      </c>
    </row>
    <row r="322" spans="1:2" x14ac:dyDescent="0.25">
      <c r="A322" s="7" t="s">
        <v>237</v>
      </c>
      <c r="B322" s="8" t="s">
        <v>9</v>
      </c>
    </row>
    <row r="323" spans="1:2" x14ac:dyDescent="0.25">
      <c r="A323" s="7" t="s">
        <v>238</v>
      </c>
      <c r="B323" s="8" t="s">
        <v>21</v>
      </c>
    </row>
    <row r="324" spans="1:2" x14ac:dyDescent="0.25">
      <c r="A324" s="7" t="s">
        <v>239</v>
      </c>
      <c r="B324" s="8" t="s">
        <v>240</v>
      </c>
    </row>
    <row r="325" spans="1:2" x14ac:dyDescent="0.25">
      <c r="A325" s="7" t="s">
        <v>241</v>
      </c>
      <c r="B325" s="8" t="s">
        <v>242</v>
      </c>
    </row>
    <row r="326" spans="1:2" x14ac:dyDescent="0.25">
      <c r="A326" s="7" t="s">
        <v>243</v>
      </c>
      <c r="B326" s="8" t="s">
        <v>37</v>
      </c>
    </row>
    <row r="327" spans="1:2" x14ac:dyDescent="0.25">
      <c r="A327" s="7" t="s">
        <v>244</v>
      </c>
      <c r="B327" s="8" t="s">
        <v>41</v>
      </c>
    </row>
    <row r="328" spans="1:2" x14ac:dyDescent="0.25">
      <c r="A328" s="7" t="s">
        <v>245</v>
      </c>
      <c r="B328" s="8" t="s">
        <v>38</v>
      </c>
    </row>
    <row r="329" spans="1:2" x14ac:dyDescent="0.25">
      <c r="A329" s="7" t="s">
        <v>246</v>
      </c>
      <c r="B329" s="8" t="s">
        <v>57</v>
      </c>
    </row>
    <row r="330" spans="1:2" x14ac:dyDescent="0.25">
      <c r="A330" s="7" t="s">
        <v>247</v>
      </c>
      <c r="B330" s="8" t="s">
        <v>66</v>
      </c>
    </row>
    <row r="331" spans="1:2" x14ac:dyDescent="0.25">
      <c r="A331" s="7" t="s">
        <v>248</v>
      </c>
      <c r="B331" s="8" t="s">
        <v>55</v>
      </c>
    </row>
    <row r="332" spans="1:2" x14ac:dyDescent="0.25">
      <c r="A332" s="7" t="s">
        <v>249</v>
      </c>
      <c r="B332" s="8" t="s">
        <v>65</v>
      </c>
    </row>
    <row r="333" spans="1:2" x14ac:dyDescent="0.25">
      <c r="A333" s="7" t="s">
        <v>250</v>
      </c>
      <c r="B333" s="8" t="s">
        <v>77</v>
      </c>
    </row>
    <row r="334" spans="1:2" x14ac:dyDescent="0.25">
      <c r="A334" s="7" t="s">
        <v>251</v>
      </c>
      <c r="B334" s="8" t="s">
        <v>78</v>
      </c>
    </row>
    <row r="335" spans="1:2" x14ac:dyDescent="0.25">
      <c r="A335" s="7" t="s">
        <v>252</v>
      </c>
      <c r="B335" s="8" t="s">
        <v>253</v>
      </c>
    </row>
    <row r="336" spans="1:2" x14ac:dyDescent="0.25">
      <c r="A336" s="7" t="s">
        <v>254</v>
      </c>
      <c r="B336" s="8" t="s">
        <v>73</v>
      </c>
    </row>
    <row r="337" spans="1:2" x14ac:dyDescent="0.25">
      <c r="A337" s="7" t="s">
        <v>255</v>
      </c>
      <c r="B337" s="8" t="s">
        <v>81</v>
      </c>
    </row>
    <row r="338" spans="1:2" x14ac:dyDescent="0.25">
      <c r="A338" s="7" t="s">
        <v>256</v>
      </c>
      <c r="B338" s="8" t="s">
        <v>9</v>
      </c>
    </row>
    <row r="339" spans="1:2" x14ac:dyDescent="0.25">
      <c r="A339" s="7" t="s">
        <v>257</v>
      </c>
      <c r="B339" s="8" t="s">
        <v>108</v>
      </c>
    </row>
    <row r="340" spans="1:2" x14ac:dyDescent="0.25">
      <c r="A340" s="7" t="s">
        <v>258</v>
      </c>
      <c r="B340" s="8" t="s">
        <v>114</v>
      </c>
    </row>
    <row r="341" spans="1:2" x14ac:dyDescent="0.25">
      <c r="A341" s="7" t="s">
        <v>259</v>
      </c>
      <c r="B341" s="8" t="s">
        <v>115</v>
      </c>
    </row>
    <row r="342" spans="1:2" x14ac:dyDescent="0.25">
      <c r="A342" s="7" t="s">
        <v>260</v>
      </c>
      <c r="B342" s="8" t="s">
        <v>116</v>
      </c>
    </row>
    <row r="343" spans="1:2" x14ac:dyDescent="0.25">
      <c r="A343" s="7" t="s">
        <v>261</v>
      </c>
      <c r="B343" s="8" t="s">
        <v>8</v>
      </c>
    </row>
    <row r="344" spans="1:2" x14ac:dyDescent="0.25">
      <c r="A344" s="7" t="s">
        <v>262</v>
      </c>
      <c r="B344" s="8" t="s">
        <v>127</v>
      </c>
    </row>
    <row r="345" spans="1:2" x14ac:dyDescent="0.25">
      <c r="A345" s="7" t="s">
        <v>263</v>
      </c>
      <c r="B345" s="8" t="s">
        <v>142</v>
      </c>
    </row>
    <row r="346" spans="1:2" x14ac:dyDescent="0.25">
      <c r="A346" s="7" t="s">
        <v>264</v>
      </c>
      <c r="B346" s="8" t="s">
        <v>160</v>
      </c>
    </row>
    <row r="347" spans="1:2" x14ac:dyDescent="0.25">
      <c r="A347" s="7" t="s">
        <v>265</v>
      </c>
      <c r="B347" s="8" t="s">
        <v>180</v>
      </c>
    </row>
    <row r="348" spans="1:2" x14ac:dyDescent="0.25">
      <c r="A348" s="7" t="s">
        <v>266</v>
      </c>
      <c r="B348" s="8" t="s">
        <v>198</v>
      </c>
    </row>
    <row r="349" spans="1:2" x14ac:dyDescent="0.25">
      <c r="A349" s="7" t="s">
        <v>267</v>
      </c>
      <c r="B349" s="8" t="s">
        <v>214</v>
      </c>
    </row>
    <row r="350" spans="1:2" x14ac:dyDescent="0.25">
      <c r="A350" s="7" t="s">
        <v>268</v>
      </c>
      <c r="B350" s="8" t="s">
        <v>231</v>
      </c>
    </row>
    <row r="351" spans="1:2" x14ac:dyDescent="0.25">
      <c r="A351" s="7" t="s">
        <v>269</v>
      </c>
      <c r="B351" s="8" t="s">
        <v>224</v>
      </c>
    </row>
    <row r="354" spans="1:2" x14ac:dyDescent="0.25">
      <c r="A354" s="126" t="s">
        <v>270</v>
      </c>
      <c r="B354" s="126"/>
    </row>
    <row r="356" spans="1:2" x14ac:dyDescent="0.25">
      <c r="A356" s="5" t="s">
        <v>1</v>
      </c>
      <c r="B356" s="6" t="s">
        <v>234</v>
      </c>
    </row>
    <row r="357" spans="1:2" x14ac:dyDescent="0.25">
      <c r="A357" s="7" t="s">
        <v>235</v>
      </c>
      <c r="B357" s="8" t="s">
        <v>25</v>
      </c>
    </row>
    <row r="358" spans="1:2" x14ac:dyDescent="0.25">
      <c r="A358" s="7" t="s">
        <v>237</v>
      </c>
      <c r="B358" s="8" t="s">
        <v>30</v>
      </c>
    </row>
    <row r="359" spans="1:2" x14ac:dyDescent="0.25">
      <c r="A359" s="7" t="s">
        <v>238</v>
      </c>
      <c r="B359" s="8" t="s">
        <v>43</v>
      </c>
    </row>
    <row r="360" spans="1:2" x14ac:dyDescent="0.25">
      <c r="A360" s="7" t="s">
        <v>239</v>
      </c>
      <c r="B360" s="8" t="s">
        <v>44</v>
      </c>
    </row>
    <row r="361" spans="1:2" x14ac:dyDescent="0.25">
      <c r="A361" s="7" t="s">
        <v>241</v>
      </c>
      <c r="B361" s="8" t="s">
        <v>86</v>
      </c>
    </row>
    <row r="362" spans="1:2" x14ac:dyDescent="0.25">
      <c r="A362" s="7" t="s">
        <v>243</v>
      </c>
      <c r="B362" s="8" t="s">
        <v>103</v>
      </c>
    </row>
    <row r="363" spans="1:2" x14ac:dyDescent="0.25">
      <c r="A363" s="7" t="s">
        <v>244</v>
      </c>
      <c r="B363" s="8" t="s">
        <v>129</v>
      </c>
    </row>
    <row r="364" spans="1:2" x14ac:dyDescent="0.25">
      <c r="A364" s="7" t="s">
        <v>245</v>
      </c>
      <c r="B364" s="8" t="s">
        <v>271</v>
      </c>
    </row>
    <row r="365" spans="1:2" x14ac:dyDescent="0.25">
      <c r="A365" s="7" t="s">
        <v>246</v>
      </c>
      <c r="B365" s="8" t="s">
        <v>135</v>
      </c>
    </row>
    <row r="366" spans="1:2" x14ac:dyDescent="0.25">
      <c r="A366" s="7" t="s">
        <v>247</v>
      </c>
      <c r="B366" s="8" t="s">
        <v>165</v>
      </c>
    </row>
    <row r="367" spans="1:2" x14ac:dyDescent="0.25">
      <c r="A367" s="7" t="s">
        <v>248</v>
      </c>
      <c r="B367" s="8" t="s">
        <v>171</v>
      </c>
    </row>
    <row r="368" spans="1:2" x14ac:dyDescent="0.25">
      <c r="A368" s="7" t="s">
        <v>249</v>
      </c>
      <c r="B368" s="8" t="s">
        <v>53</v>
      </c>
    </row>
    <row r="369" spans="1:2" x14ac:dyDescent="0.25">
      <c r="A369" s="7" t="s">
        <v>250</v>
      </c>
      <c r="B369" s="8" t="s">
        <v>175</v>
      </c>
    </row>
    <row r="370" spans="1:2" x14ac:dyDescent="0.25">
      <c r="A370" s="7" t="s">
        <v>251</v>
      </c>
      <c r="B370" s="8" t="s">
        <v>57</v>
      </c>
    </row>
    <row r="371" spans="1:2" x14ac:dyDescent="0.25">
      <c r="A371" s="7" t="s">
        <v>252</v>
      </c>
      <c r="B371" s="8" t="s">
        <v>203</v>
      </c>
    </row>
  </sheetData>
  <mergeCells count="16">
    <mergeCell ref="Q5:Q7"/>
    <mergeCell ref="A258:B258"/>
    <mergeCell ref="A354:B354"/>
    <mergeCell ref="J5:J7"/>
    <mergeCell ref="K5:K7"/>
    <mergeCell ref="L5:L7"/>
    <mergeCell ref="E5:E7"/>
    <mergeCell ref="F5:F7"/>
    <mergeCell ref="G5:G7"/>
    <mergeCell ref="H5:H7"/>
    <mergeCell ref="I5:I7"/>
    <mergeCell ref="A5:A7"/>
    <mergeCell ref="B5:B7"/>
    <mergeCell ref="C5:C7"/>
    <mergeCell ref="D5:D7"/>
    <mergeCell ref="M5:M7"/>
  </mergeCells>
  <conditionalFormatting sqref="C1:C1048576">
    <cfRule type="duplicateValues" dxfId="12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sqref="A1:XFD1048576"/>
    </sheetView>
  </sheetViews>
  <sheetFormatPr defaultColWidth="9.140625" defaultRowHeight="15" x14ac:dyDescent="0.25"/>
  <cols>
    <col min="1" max="1" width="6.42578125" style="49" customWidth="1"/>
    <col min="2" max="2" width="37.42578125" style="48" customWidth="1"/>
    <col min="3" max="3" width="29.28515625" style="14" customWidth="1"/>
    <col min="4" max="4" width="18.28515625" style="48" customWidth="1"/>
    <col min="5" max="5" width="18.28515625" style="14" customWidth="1"/>
    <col min="6" max="10" width="18.28515625" style="48" customWidth="1"/>
    <col min="11" max="16384" width="9.140625" style="48"/>
  </cols>
  <sheetData>
    <row r="2" spans="1:5" x14ac:dyDescent="0.25">
      <c r="A2" s="138" t="s">
        <v>441</v>
      </c>
      <c r="B2" s="138"/>
      <c r="C2" s="138"/>
    </row>
    <row r="3" spans="1:5" x14ac:dyDescent="0.25">
      <c r="A3" s="139" t="str">
        <f>"TANGGAL "&amp;perdesa!B4</f>
        <v>TANGGAL 10 MEI 2022</v>
      </c>
      <c r="B3" s="139"/>
    </row>
    <row r="4" spans="1:5" s="52" customFormat="1" x14ac:dyDescent="0.25">
      <c r="A4" s="50" t="s">
        <v>1</v>
      </c>
      <c r="B4" s="51" t="s">
        <v>2</v>
      </c>
      <c r="C4" s="71" t="s">
        <v>456</v>
      </c>
      <c r="E4" s="53"/>
    </row>
    <row r="5" spans="1:5" x14ac:dyDescent="0.25">
      <c r="A5" s="55"/>
      <c r="B5" s="56"/>
      <c r="C5" s="87"/>
    </row>
    <row r="6" spans="1:5" s="14" customFormat="1" x14ac:dyDescent="0.25">
      <c r="A6" s="54">
        <v>1</v>
      </c>
      <c r="B6" s="43" t="s">
        <v>284</v>
      </c>
      <c r="C6" s="89">
        <f>perdesa!Q155</f>
        <v>0</v>
      </c>
    </row>
    <row r="7" spans="1:5" s="14" customFormat="1" x14ac:dyDescent="0.25">
      <c r="A7" s="54">
        <v>2</v>
      </c>
      <c r="B7" s="43" t="s">
        <v>282</v>
      </c>
      <c r="C7" s="89">
        <f>perdesa!Q175</f>
        <v>0</v>
      </c>
    </row>
    <row r="8" spans="1:5" s="14" customFormat="1" x14ac:dyDescent="0.25">
      <c r="A8" s="54">
        <v>3</v>
      </c>
      <c r="B8" s="43" t="s">
        <v>293</v>
      </c>
      <c r="C8" s="89">
        <f>perdesa!Q237</f>
        <v>0</v>
      </c>
    </row>
    <row r="9" spans="1:5" s="14" customFormat="1" x14ac:dyDescent="0.25">
      <c r="A9" s="54">
        <v>4</v>
      </c>
      <c r="B9" s="43" t="s">
        <v>291</v>
      </c>
      <c r="C9" s="89">
        <f>perdesa!Q83</f>
        <v>0</v>
      </c>
    </row>
    <row r="10" spans="1:5" s="14" customFormat="1" x14ac:dyDescent="0.25">
      <c r="A10" s="54">
        <v>5</v>
      </c>
      <c r="B10" s="43" t="s">
        <v>0</v>
      </c>
      <c r="C10" s="89">
        <f>perdesa!Q27</f>
        <v>0</v>
      </c>
    </row>
    <row r="11" spans="1:5" s="14" customFormat="1" x14ac:dyDescent="0.25">
      <c r="A11" s="54">
        <v>6</v>
      </c>
      <c r="B11" s="43" t="s">
        <v>283</v>
      </c>
      <c r="C11" s="89">
        <f>perdesa!Q115</f>
        <v>0</v>
      </c>
    </row>
    <row r="12" spans="1:5" s="14" customFormat="1" x14ac:dyDescent="0.25">
      <c r="A12" s="54">
        <v>7</v>
      </c>
      <c r="B12" s="43" t="s">
        <v>285</v>
      </c>
      <c r="C12" s="89">
        <f>perdesa!Q217</f>
        <v>0</v>
      </c>
    </row>
    <row r="13" spans="1:5" s="14" customFormat="1" x14ac:dyDescent="0.25">
      <c r="A13" s="54">
        <v>8</v>
      </c>
      <c r="B13" s="43" t="s">
        <v>286</v>
      </c>
      <c r="C13" s="89">
        <f>perdesa!Q44</f>
        <v>0</v>
      </c>
    </row>
    <row r="14" spans="1:5" s="14" customFormat="1" x14ac:dyDescent="0.25">
      <c r="A14" s="54">
        <v>9</v>
      </c>
      <c r="B14" s="43" t="s">
        <v>292</v>
      </c>
      <c r="C14" s="89">
        <f>perdesa!Q134</f>
        <v>0</v>
      </c>
    </row>
    <row r="15" spans="1:5" s="14" customFormat="1" x14ac:dyDescent="0.25">
      <c r="A15" s="54">
        <v>10</v>
      </c>
      <c r="B15" s="43" t="s">
        <v>400</v>
      </c>
      <c r="C15" s="89">
        <f>perdesa!Q8</f>
        <v>1</v>
      </c>
    </row>
    <row r="16" spans="1:5" s="14" customFormat="1" x14ac:dyDescent="0.25">
      <c r="A16" s="54">
        <v>11</v>
      </c>
      <c r="B16" s="43" t="s">
        <v>287</v>
      </c>
      <c r="C16" s="76">
        <f>perdesa!Q203</f>
        <v>0</v>
      </c>
      <c r="D16" s="26"/>
    </row>
    <row r="17" spans="1:3" s="14" customFormat="1" x14ac:dyDescent="0.25">
      <c r="A17" s="54">
        <v>12</v>
      </c>
      <c r="B17" s="43" t="s">
        <v>288</v>
      </c>
      <c r="C17" s="89">
        <f>perdesa!Q187</f>
        <v>0</v>
      </c>
    </row>
    <row r="18" spans="1:3" s="14" customFormat="1" x14ac:dyDescent="0.25">
      <c r="A18" s="54">
        <v>13</v>
      </c>
      <c r="B18" s="43" t="s">
        <v>289</v>
      </c>
      <c r="C18" s="89">
        <f>perdesa!Q65</f>
        <v>0</v>
      </c>
    </row>
    <row r="19" spans="1:3" s="14" customFormat="1" x14ac:dyDescent="0.25">
      <c r="A19" s="54">
        <v>14</v>
      </c>
      <c r="B19" s="43" t="s">
        <v>290</v>
      </c>
      <c r="C19" s="89">
        <f>perdesa!Q100</f>
        <v>0</v>
      </c>
    </row>
    <row r="20" spans="1:3" s="14" customFormat="1" x14ac:dyDescent="0.25">
      <c r="A20" s="54">
        <v>15</v>
      </c>
      <c r="B20" s="43" t="s">
        <v>294</v>
      </c>
      <c r="C20" s="76">
        <f>perdesa!Q257</f>
        <v>0</v>
      </c>
    </row>
    <row r="21" spans="1:3" s="48" customFormat="1" x14ac:dyDescent="0.25">
      <c r="A21" s="57"/>
      <c r="B21" s="58" t="s">
        <v>401</v>
      </c>
      <c r="C21" s="88">
        <f>SUM(C6:C20)</f>
        <v>1</v>
      </c>
    </row>
    <row r="27" spans="1:3" s="48" customFormat="1" x14ac:dyDescent="0.25">
      <c r="A27" s="49"/>
      <c r="B27" s="48" t="s">
        <v>458</v>
      </c>
      <c r="C27" s="14"/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ColWidth="8.85546875" defaultRowHeight="15" x14ac:dyDescent="0.25"/>
  <cols>
    <col min="6" max="6" width="25.42578125" customWidth="1"/>
    <col min="9" max="9" width="16.140625" customWidth="1"/>
  </cols>
  <sheetData>
    <row r="5" spans="1:33" s="32" customFormat="1" ht="18.75" customHeight="1" x14ac:dyDescent="0.25">
      <c r="A5" s="37"/>
      <c r="B5" s="37"/>
      <c r="C5" s="46">
        <v>44014</v>
      </c>
      <c r="D5" s="40" t="s">
        <v>352</v>
      </c>
      <c r="E5" s="40" t="s">
        <v>311</v>
      </c>
      <c r="F5" s="72" t="s">
        <v>402</v>
      </c>
      <c r="G5" s="73">
        <v>44008</v>
      </c>
      <c r="H5" s="71">
        <v>46</v>
      </c>
      <c r="I5" s="72" t="s">
        <v>405</v>
      </c>
      <c r="J5" s="71" t="s">
        <v>403</v>
      </c>
      <c r="K5" s="71">
        <v>1</v>
      </c>
      <c r="L5" s="71" t="s">
        <v>404</v>
      </c>
      <c r="M5" s="71" t="s">
        <v>405</v>
      </c>
      <c r="N5" s="71" t="s">
        <v>404</v>
      </c>
      <c r="O5" s="38" t="s">
        <v>294</v>
      </c>
      <c r="P5" s="38" t="s">
        <v>294</v>
      </c>
      <c r="Q5" s="37"/>
      <c r="R5" s="8" t="s">
        <v>350</v>
      </c>
      <c r="S5" s="37"/>
      <c r="T5" s="37"/>
      <c r="U5" s="37"/>
      <c r="V5" s="37"/>
      <c r="W5" s="37"/>
      <c r="X5" s="37"/>
      <c r="Y5" s="37"/>
      <c r="Z5" s="37" t="s">
        <v>318</v>
      </c>
      <c r="AA5" s="37"/>
      <c r="AB5" s="37"/>
      <c r="AC5" s="37"/>
      <c r="AD5" s="37" t="s">
        <v>310</v>
      </c>
      <c r="AF5" s="33" t="s">
        <v>294</v>
      </c>
      <c r="AG5" s="33" t="s">
        <v>294</v>
      </c>
    </row>
    <row r="6" spans="1:33" ht="105" x14ac:dyDescent="0.25">
      <c r="C6" s="39">
        <v>44017</v>
      </c>
      <c r="D6" s="74" t="s">
        <v>352</v>
      </c>
      <c r="E6" s="74" t="s">
        <v>311</v>
      </c>
      <c r="F6" s="34" t="s">
        <v>429</v>
      </c>
      <c r="G6" s="74" t="s">
        <v>307</v>
      </c>
      <c r="H6" s="74">
        <v>54</v>
      </c>
      <c r="I6" s="74"/>
      <c r="J6" s="74"/>
      <c r="K6" s="74"/>
      <c r="L6" s="74"/>
      <c r="M6" s="74"/>
      <c r="N6" s="34" t="s">
        <v>428</v>
      </c>
      <c r="O6" s="34" t="s">
        <v>395</v>
      </c>
      <c r="P6" s="34" t="s">
        <v>283</v>
      </c>
      <c r="Q6" s="74"/>
      <c r="R6" s="74" t="s">
        <v>430</v>
      </c>
      <c r="S6" s="74"/>
      <c r="T6" s="74" t="s">
        <v>326</v>
      </c>
      <c r="U6" s="74"/>
      <c r="V6" s="74"/>
      <c r="W6" s="74"/>
      <c r="X6" s="74"/>
      <c r="Y6" s="74"/>
      <c r="Z6" s="74"/>
      <c r="AA6" s="74"/>
      <c r="AB6" s="74"/>
      <c r="AC6" s="74"/>
      <c r="AD6" s="74" t="s">
        <v>355</v>
      </c>
      <c r="AE6" s="36"/>
      <c r="AF6" s="35" t="s">
        <v>395</v>
      </c>
      <c r="AG6" s="35" t="s">
        <v>283</v>
      </c>
    </row>
  </sheetData>
  <conditionalFormatting sqref="F5">
    <cfRule type="duplicateValues" dxfId="11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ColWidth="8.85546875"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32" customFormat="1" ht="27" customHeight="1" x14ac:dyDescent="0.25">
      <c r="D3" s="37" t="s">
        <v>352</v>
      </c>
      <c r="E3" s="37" t="s">
        <v>311</v>
      </c>
      <c r="F3" s="38" t="s">
        <v>316</v>
      </c>
      <c r="G3" s="37" t="s">
        <v>305</v>
      </c>
      <c r="H3" s="37">
        <v>52</v>
      </c>
      <c r="I3" s="37" t="s">
        <v>426</v>
      </c>
      <c r="J3" s="37"/>
      <c r="K3" s="37"/>
      <c r="L3" s="37"/>
      <c r="M3" s="37"/>
      <c r="N3" s="38" t="s">
        <v>317</v>
      </c>
      <c r="O3" s="38" t="s">
        <v>345</v>
      </c>
      <c r="P3" s="38" t="s">
        <v>282</v>
      </c>
      <c r="Q3" s="37"/>
      <c r="R3" s="37" t="s">
        <v>312</v>
      </c>
      <c r="S3" s="37" t="s">
        <v>399</v>
      </c>
      <c r="T3" s="37"/>
      <c r="U3" s="37"/>
      <c r="V3" s="37"/>
      <c r="W3" s="37"/>
      <c r="X3" s="37"/>
      <c r="Y3" s="37"/>
      <c r="Z3" s="37" t="s">
        <v>393</v>
      </c>
      <c r="AA3" s="37" t="s">
        <v>427</v>
      </c>
      <c r="AB3" s="37" t="s">
        <v>308</v>
      </c>
    </row>
    <row r="4" spans="4:33" s="32" customFormat="1" ht="27" customHeight="1" x14ac:dyDescent="0.25">
      <c r="D4" s="37" t="s">
        <v>352</v>
      </c>
      <c r="E4" s="37" t="s">
        <v>311</v>
      </c>
      <c r="F4" s="38" t="s">
        <v>356</v>
      </c>
      <c r="G4" s="37" t="s">
        <v>305</v>
      </c>
      <c r="H4" s="37">
        <v>56</v>
      </c>
      <c r="I4" s="37" t="s">
        <v>357</v>
      </c>
      <c r="J4" s="37"/>
      <c r="K4" s="37"/>
      <c r="L4" s="37"/>
      <c r="M4" s="37"/>
      <c r="N4" s="38" t="s">
        <v>423</v>
      </c>
      <c r="O4" s="38" t="s">
        <v>346</v>
      </c>
      <c r="P4" s="38" t="s">
        <v>309</v>
      </c>
      <c r="Q4" s="37"/>
      <c r="R4" s="37" t="s">
        <v>312</v>
      </c>
      <c r="S4" s="37" t="s">
        <v>424</v>
      </c>
      <c r="T4" s="37"/>
      <c r="U4" s="37"/>
      <c r="V4" s="37"/>
      <c r="W4" s="37"/>
      <c r="X4" s="37"/>
      <c r="Y4" s="37"/>
      <c r="Z4" s="37" t="s">
        <v>393</v>
      </c>
      <c r="AA4" s="37" t="s">
        <v>425</v>
      </c>
      <c r="AB4" s="37" t="s">
        <v>308</v>
      </c>
    </row>
    <row r="5" spans="4:33" s="32" customFormat="1" ht="27" customHeight="1" x14ac:dyDescent="0.25">
      <c r="D5" s="37" t="s">
        <v>352</v>
      </c>
      <c r="E5" s="37" t="s">
        <v>311</v>
      </c>
      <c r="F5" s="38" t="s">
        <v>314</v>
      </c>
      <c r="G5" s="37" t="s">
        <v>305</v>
      </c>
      <c r="H5" s="37">
        <v>52</v>
      </c>
      <c r="I5" s="37" t="s">
        <v>315</v>
      </c>
      <c r="J5" s="37"/>
      <c r="K5" s="37"/>
      <c r="L5" s="37"/>
      <c r="M5" s="37"/>
      <c r="N5" s="38" t="s">
        <v>420</v>
      </c>
      <c r="O5" s="38" t="s">
        <v>344</v>
      </c>
      <c r="P5" s="38" t="s">
        <v>0</v>
      </c>
      <c r="Q5" s="37"/>
      <c r="R5" s="37" t="s">
        <v>312</v>
      </c>
      <c r="S5" s="37" t="s">
        <v>421</v>
      </c>
      <c r="T5" s="37"/>
      <c r="U5" s="37"/>
      <c r="V5" s="37"/>
      <c r="W5" s="37"/>
      <c r="X5" s="37"/>
      <c r="Y5" s="37"/>
      <c r="Z5" s="37" t="s">
        <v>393</v>
      </c>
      <c r="AA5" s="37" t="s">
        <v>422</v>
      </c>
      <c r="AB5" s="37" t="s">
        <v>308</v>
      </c>
    </row>
    <row r="6" spans="4:33" s="32" customFormat="1" ht="27" customHeight="1" x14ac:dyDescent="0.25">
      <c r="D6" s="37" t="s">
        <v>352</v>
      </c>
      <c r="E6" s="37" t="s">
        <v>311</v>
      </c>
      <c r="F6" s="38" t="s">
        <v>331</v>
      </c>
      <c r="G6" s="37" t="s">
        <v>305</v>
      </c>
      <c r="H6" s="37">
        <v>63</v>
      </c>
      <c r="I6" s="37" t="s">
        <v>324</v>
      </c>
      <c r="J6" s="37"/>
      <c r="K6" s="37"/>
      <c r="L6" s="37"/>
      <c r="M6" s="37"/>
      <c r="N6" s="38" t="s">
        <v>323</v>
      </c>
      <c r="O6" s="38" t="s">
        <v>354</v>
      </c>
      <c r="P6" s="38" t="s">
        <v>293</v>
      </c>
      <c r="Q6" s="37"/>
      <c r="R6" s="37" t="s">
        <v>306</v>
      </c>
      <c r="S6" s="37" t="s">
        <v>409</v>
      </c>
      <c r="T6" s="37"/>
      <c r="U6" s="37"/>
      <c r="V6" s="37"/>
      <c r="W6" s="37"/>
      <c r="X6" s="37"/>
      <c r="Y6" s="37"/>
      <c r="Z6" s="37" t="s">
        <v>393</v>
      </c>
      <c r="AA6" s="37" t="s">
        <v>419</v>
      </c>
      <c r="AB6" s="37" t="s">
        <v>308</v>
      </c>
    </row>
    <row r="7" spans="4:33" s="32" customFormat="1" ht="27" customHeight="1" x14ac:dyDescent="0.25">
      <c r="D7" s="37" t="s">
        <v>352</v>
      </c>
      <c r="E7" s="37" t="s">
        <v>311</v>
      </c>
      <c r="F7" s="38" t="s">
        <v>372</v>
      </c>
      <c r="G7" s="37" t="s">
        <v>305</v>
      </c>
      <c r="H7" s="37">
        <v>17</v>
      </c>
      <c r="I7" s="37" t="s">
        <v>374</v>
      </c>
      <c r="J7" s="37"/>
      <c r="K7" s="37"/>
      <c r="L7" s="37"/>
      <c r="M7" s="37"/>
      <c r="N7" s="38" t="s">
        <v>373</v>
      </c>
      <c r="O7" s="38" t="s">
        <v>351</v>
      </c>
      <c r="P7" s="38" t="s">
        <v>309</v>
      </c>
      <c r="Q7" s="37"/>
      <c r="R7" s="37" t="s">
        <v>312</v>
      </c>
      <c r="S7" s="37" t="s">
        <v>377</v>
      </c>
      <c r="T7" s="37"/>
      <c r="U7" s="37"/>
      <c r="V7" s="37"/>
      <c r="W7" s="37"/>
      <c r="X7" s="37"/>
      <c r="Y7" s="37"/>
      <c r="Z7" s="37" t="s">
        <v>393</v>
      </c>
      <c r="AA7" s="37" t="s">
        <v>325</v>
      </c>
      <c r="AB7" s="37" t="s">
        <v>308</v>
      </c>
    </row>
    <row r="8" spans="4:33" s="32" customFormat="1" ht="27" customHeight="1" x14ac:dyDescent="0.25">
      <c r="D8" s="37" t="s">
        <v>352</v>
      </c>
      <c r="E8" s="37" t="s">
        <v>311</v>
      </c>
      <c r="F8" s="38" t="s">
        <v>332</v>
      </c>
      <c r="G8" s="37" t="s">
        <v>305</v>
      </c>
      <c r="H8" s="37">
        <v>75</v>
      </c>
      <c r="I8" s="37" t="s">
        <v>333</v>
      </c>
      <c r="J8" s="37"/>
      <c r="K8" s="37"/>
      <c r="L8" s="37"/>
      <c r="M8" s="37"/>
      <c r="N8" s="38" t="s">
        <v>418</v>
      </c>
      <c r="O8" s="38" t="s">
        <v>347</v>
      </c>
      <c r="P8" s="38" t="s">
        <v>309</v>
      </c>
      <c r="Q8" s="37"/>
      <c r="R8" s="37" t="s">
        <v>312</v>
      </c>
      <c r="S8" s="37" t="s">
        <v>411</v>
      </c>
      <c r="T8" s="37"/>
      <c r="U8" s="37"/>
      <c r="V8" s="37"/>
      <c r="W8" s="37"/>
      <c r="X8" s="37"/>
      <c r="Y8" s="37"/>
      <c r="Z8" s="37" t="s">
        <v>393</v>
      </c>
      <c r="AA8" s="37" t="s">
        <v>334</v>
      </c>
      <c r="AB8" s="37" t="s">
        <v>308</v>
      </c>
    </row>
    <row r="9" spans="4:33" s="32" customFormat="1" ht="27" customHeight="1" x14ac:dyDescent="0.25">
      <c r="D9" s="37" t="s">
        <v>352</v>
      </c>
      <c r="E9" s="37" t="s">
        <v>311</v>
      </c>
      <c r="F9" s="38" t="s">
        <v>362</v>
      </c>
      <c r="G9" s="37" t="s">
        <v>307</v>
      </c>
      <c r="H9" s="37">
        <v>28</v>
      </c>
      <c r="I9" s="37" t="s">
        <v>368</v>
      </c>
      <c r="J9" s="37"/>
      <c r="K9" s="37"/>
      <c r="L9" s="37"/>
      <c r="M9" s="37"/>
      <c r="N9" s="38" t="s">
        <v>367</v>
      </c>
      <c r="O9" s="38" t="s">
        <v>343</v>
      </c>
      <c r="P9" s="38" t="s">
        <v>285</v>
      </c>
      <c r="Q9" s="37"/>
      <c r="R9" s="37" t="s">
        <v>312</v>
      </c>
      <c r="S9" s="37" t="s">
        <v>377</v>
      </c>
      <c r="T9" s="37"/>
      <c r="U9" s="37"/>
      <c r="V9" s="37"/>
      <c r="W9" s="37"/>
      <c r="X9" s="37"/>
      <c r="Y9" s="37"/>
      <c r="Z9" s="37" t="s">
        <v>393</v>
      </c>
      <c r="AA9" s="37" t="s">
        <v>369</v>
      </c>
      <c r="AB9" s="37" t="s">
        <v>308</v>
      </c>
    </row>
    <row r="10" spans="4:33" s="32" customFormat="1" ht="27" customHeight="1" x14ac:dyDescent="0.25">
      <c r="D10" s="37" t="s">
        <v>352</v>
      </c>
      <c r="E10" s="37" t="s">
        <v>311</v>
      </c>
      <c r="F10" s="38" t="s">
        <v>386</v>
      </c>
      <c r="G10" s="37" t="s">
        <v>307</v>
      </c>
      <c r="H10" s="37">
        <v>76</v>
      </c>
      <c r="I10" s="37" t="s">
        <v>388</v>
      </c>
      <c r="J10" s="37"/>
      <c r="K10" s="37"/>
      <c r="L10" s="37"/>
      <c r="M10" s="37"/>
      <c r="N10" s="38" t="s">
        <v>387</v>
      </c>
      <c r="O10" s="38" t="s">
        <v>349</v>
      </c>
      <c r="P10" s="38" t="s">
        <v>282</v>
      </c>
      <c r="Q10" s="37"/>
      <c r="R10" s="37" t="s">
        <v>312</v>
      </c>
      <c r="S10" s="37" t="s">
        <v>376</v>
      </c>
      <c r="T10" s="37"/>
      <c r="U10" s="37"/>
      <c r="V10" s="37"/>
      <c r="W10" s="37"/>
      <c r="X10" s="37"/>
      <c r="Y10" s="37"/>
      <c r="Z10" s="37" t="s">
        <v>393</v>
      </c>
      <c r="AA10" s="37" t="s">
        <v>322</v>
      </c>
      <c r="AB10" s="37" t="s">
        <v>308</v>
      </c>
    </row>
    <row r="11" spans="4:33" s="32" customFormat="1" ht="27" customHeight="1" x14ac:dyDescent="0.25">
      <c r="D11" s="37" t="s">
        <v>352</v>
      </c>
      <c r="E11" s="37" t="s">
        <v>311</v>
      </c>
      <c r="F11" s="38" t="s">
        <v>390</v>
      </c>
      <c r="G11" s="37" t="s">
        <v>305</v>
      </c>
      <c r="H11" s="37">
        <v>20</v>
      </c>
      <c r="I11" s="37" t="s">
        <v>308</v>
      </c>
      <c r="J11" s="37"/>
      <c r="K11" s="37"/>
      <c r="L11" s="37"/>
      <c r="M11" s="37"/>
      <c r="N11" s="38" t="s">
        <v>391</v>
      </c>
      <c r="O11" s="38" t="s">
        <v>309</v>
      </c>
      <c r="P11" s="38" t="s">
        <v>309</v>
      </c>
      <c r="Q11" s="37"/>
      <c r="R11" s="37" t="s">
        <v>312</v>
      </c>
      <c r="S11" s="37" t="s">
        <v>392</v>
      </c>
      <c r="T11" s="37"/>
      <c r="U11" s="37"/>
      <c r="V11" s="37"/>
      <c r="W11" s="37"/>
      <c r="X11" s="37"/>
      <c r="Y11" s="37"/>
      <c r="Z11" s="37" t="s">
        <v>393</v>
      </c>
      <c r="AA11" s="37" t="s">
        <v>417</v>
      </c>
      <c r="AB11" s="37" t="s">
        <v>308</v>
      </c>
      <c r="AG11" s="33"/>
    </row>
    <row r="12" spans="4:33" s="32" customFormat="1" ht="27" customHeight="1" x14ac:dyDescent="0.25">
      <c r="D12" s="37" t="s">
        <v>352</v>
      </c>
      <c r="E12" s="37" t="s">
        <v>311</v>
      </c>
      <c r="F12" s="38" t="s">
        <v>359</v>
      </c>
      <c r="G12" s="37" t="s">
        <v>305</v>
      </c>
      <c r="H12" s="37">
        <v>72</v>
      </c>
      <c r="I12" s="37" t="s">
        <v>308</v>
      </c>
      <c r="J12" s="37"/>
      <c r="K12" s="37"/>
      <c r="L12" s="37"/>
      <c r="M12" s="37"/>
      <c r="N12" s="38" t="s">
        <v>360</v>
      </c>
      <c r="O12" s="38" t="s">
        <v>370</v>
      </c>
      <c r="P12" s="38" t="s">
        <v>282</v>
      </c>
      <c r="Q12" s="37"/>
      <c r="R12" s="37" t="s">
        <v>312</v>
      </c>
      <c r="S12" s="37" t="s">
        <v>389</v>
      </c>
      <c r="T12" s="37"/>
      <c r="U12" s="37"/>
      <c r="V12" s="37"/>
      <c r="W12" s="37"/>
      <c r="X12" s="37"/>
      <c r="Y12" s="37"/>
      <c r="Z12" s="37" t="s">
        <v>393</v>
      </c>
      <c r="AA12" s="37" t="s">
        <v>361</v>
      </c>
      <c r="AB12" s="37" t="s">
        <v>308</v>
      </c>
      <c r="AG12" s="33"/>
    </row>
    <row r="13" spans="4:33" s="32" customFormat="1" ht="27" customHeight="1" x14ac:dyDescent="0.25">
      <c r="D13" s="37" t="s">
        <v>352</v>
      </c>
      <c r="E13" s="37" t="s">
        <v>311</v>
      </c>
      <c r="F13" s="38" t="s">
        <v>337</v>
      </c>
      <c r="G13" s="37" t="s">
        <v>307</v>
      </c>
      <c r="H13" s="37">
        <v>48</v>
      </c>
      <c r="I13" s="37" t="s">
        <v>414</v>
      </c>
      <c r="J13" s="37"/>
      <c r="K13" s="37"/>
      <c r="L13" s="37"/>
      <c r="M13" s="37"/>
      <c r="N13" s="37" t="s">
        <v>415</v>
      </c>
      <c r="O13" s="37" t="s">
        <v>346</v>
      </c>
      <c r="P13" s="37" t="s">
        <v>309</v>
      </c>
      <c r="Q13" s="37"/>
      <c r="R13" s="37" t="s">
        <v>312</v>
      </c>
      <c r="S13" s="37" t="s">
        <v>380</v>
      </c>
      <c r="T13" s="37"/>
      <c r="U13" s="37"/>
      <c r="V13" s="37"/>
      <c r="W13" s="37"/>
      <c r="X13" s="37"/>
      <c r="Y13" s="37"/>
      <c r="Z13" s="37" t="s">
        <v>393</v>
      </c>
      <c r="AA13" s="37" t="s">
        <v>416</v>
      </c>
      <c r="AB13" s="37" t="s">
        <v>308</v>
      </c>
      <c r="AG13" s="33"/>
    </row>
    <row r="14" spans="4:33" s="32" customFormat="1" ht="27" customHeight="1" x14ac:dyDescent="0.25">
      <c r="D14" s="37" t="s">
        <v>352</v>
      </c>
      <c r="E14" s="37" t="s">
        <v>311</v>
      </c>
      <c r="F14" s="38" t="s">
        <v>378</v>
      </c>
      <c r="G14" s="37" t="s">
        <v>307</v>
      </c>
      <c r="H14" s="37">
        <v>36</v>
      </c>
      <c r="I14" s="37" t="s">
        <v>379</v>
      </c>
      <c r="J14" s="37"/>
      <c r="K14" s="37"/>
      <c r="L14" s="37"/>
      <c r="M14" s="37"/>
      <c r="N14" s="37" t="s">
        <v>412</v>
      </c>
      <c r="O14" s="37" t="s">
        <v>358</v>
      </c>
      <c r="P14" s="37" t="s">
        <v>309</v>
      </c>
      <c r="Q14" s="37"/>
      <c r="R14" s="37" t="s">
        <v>312</v>
      </c>
      <c r="S14" s="37" t="s">
        <v>375</v>
      </c>
      <c r="T14" s="37"/>
      <c r="U14" s="37"/>
      <c r="V14" s="37"/>
      <c r="W14" s="37"/>
      <c r="X14" s="37"/>
      <c r="Y14" s="37"/>
      <c r="Z14" s="37" t="s">
        <v>393</v>
      </c>
      <c r="AA14" s="37" t="s">
        <v>413</v>
      </c>
      <c r="AB14" s="37" t="s">
        <v>308</v>
      </c>
      <c r="AG14" s="33"/>
    </row>
    <row r="15" spans="4:33" s="32" customFormat="1" ht="27" customHeight="1" x14ac:dyDescent="0.25">
      <c r="D15" s="37" t="s">
        <v>352</v>
      </c>
      <c r="E15" s="37" t="s">
        <v>311</v>
      </c>
      <c r="F15" s="38" t="s">
        <v>313</v>
      </c>
      <c r="G15" s="37" t="s">
        <v>307</v>
      </c>
      <c r="H15" s="37">
        <v>47</v>
      </c>
      <c r="I15" s="37" t="s">
        <v>383</v>
      </c>
      <c r="J15" s="37"/>
      <c r="K15" s="37"/>
      <c r="L15" s="37"/>
      <c r="M15" s="37"/>
      <c r="N15" s="37" t="s">
        <v>382</v>
      </c>
      <c r="O15" s="37" t="s">
        <v>381</v>
      </c>
      <c r="P15" s="37" t="s">
        <v>282</v>
      </c>
      <c r="Q15" s="37"/>
      <c r="R15" s="37" t="s">
        <v>312</v>
      </c>
      <c r="S15" s="37" t="s">
        <v>385</v>
      </c>
      <c r="T15" s="37"/>
      <c r="U15" s="37"/>
      <c r="V15" s="37"/>
      <c r="W15" s="37"/>
      <c r="X15" s="37"/>
      <c r="Y15" s="37"/>
      <c r="Z15" s="37" t="s">
        <v>393</v>
      </c>
      <c r="AA15" s="37" t="s">
        <v>384</v>
      </c>
      <c r="AB15" s="37" t="s">
        <v>308</v>
      </c>
      <c r="AG15" s="33"/>
    </row>
    <row r="16" spans="4:33" s="32" customFormat="1" ht="27" customHeight="1" x14ac:dyDescent="0.25">
      <c r="D16" s="37" t="s">
        <v>352</v>
      </c>
      <c r="E16" s="37" t="s">
        <v>311</v>
      </c>
      <c r="F16" s="38" t="s">
        <v>335</v>
      </c>
      <c r="G16" s="37" t="s">
        <v>305</v>
      </c>
      <c r="H16" s="37">
        <v>53</v>
      </c>
      <c r="I16" s="37" t="s">
        <v>336</v>
      </c>
      <c r="J16" s="37"/>
      <c r="K16" s="37"/>
      <c r="L16" s="37"/>
      <c r="M16" s="37"/>
      <c r="N16" s="37" t="s">
        <v>410</v>
      </c>
      <c r="O16" s="37" t="s">
        <v>397</v>
      </c>
      <c r="P16" s="37" t="s">
        <v>286</v>
      </c>
      <c r="Q16" s="37"/>
      <c r="R16" s="37" t="s">
        <v>306</v>
      </c>
      <c r="S16" s="37" t="s">
        <v>411</v>
      </c>
      <c r="T16" s="37"/>
      <c r="U16" s="37"/>
      <c r="V16" s="37"/>
      <c r="W16" s="37"/>
      <c r="X16" s="37"/>
      <c r="Y16" s="37"/>
      <c r="Z16" s="37" t="s">
        <v>393</v>
      </c>
      <c r="AA16" s="37" t="s">
        <v>328</v>
      </c>
      <c r="AB16" s="37" t="s">
        <v>308</v>
      </c>
      <c r="AG16" s="33"/>
    </row>
    <row r="17" spans="4:33" s="32" customFormat="1" ht="27" customHeight="1" x14ac:dyDescent="0.25">
      <c r="D17" s="37" t="s">
        <v>352</v>
      </c>
      <c r="E17" s="37" t="s">
        <v>311</v>
      </c>
      <c r="F17" s="38" t="s">
        <v>319</v>
      </c>
      <c r="G17" s="37" t="s">
        <v>307</v>
      </c>
      <c r="H17" s="37">
        <v>48</v>
      </c>
      <c r="I17" s="37" t="s">
        <v>408</v>
      </c>
      <c r="J17" s="37"/>
      <c r="K17" s="37"/>
      <c r="L17" s="37"/>
      <c r="M17" s="37"/>
      <c r="N17" s="37" t="s">
        <v>321</v>
      </c>
      <c r="O17" s="37" t="s">
        <v>348</v>
      </c>
      <c r="P17" s="37" t="s">
        <v>309</v>
      </c>
      <c r="Q17" s="37"/>
      <c r="R17" s="37" t="s">
        <v>320</v>
      </c>
      <c r="S17" s="37" t="s">
        <v>409</v>
      </c>
      <c r="T17" s="37"/>
      <c r="U17" s="37"/>
      <c r="V17" s="37"/>
      <c r="W17" s="37"/>
      <c r="X17" s="37"/>
      <c r="Y17" s="37"/>
      <c r="Z17" s="37" t="s">
        <v>393</v>
      </c>
      <c r="AA17" s="37">
        <v>0</v>
      </c>
      <c r="AB17" s="37" t="s">
        <v>308</v>
      </c>
      <c r="AG17" s="33"/>
    </row>
    <row r="18" spans="4:33" s="32" customFormat="1" ht="27" customHeight="1" x14ac:dyDescent="0.25">
      <c r="D18" s="37" t="s">
        <v>352</v>
      </c>
      <c r="E18" s="37" t="s">
        <v>311</v>
      </c>
      <c r="F18" s="38" t="s">
        <v>363</v>
      </c>
      <c r="G18" s="37" t="s">
        <v>305</v>
      </c>
      <c r="H18" s="37">
        <v>45</v>
      </c>
      <c r="I18" s="37" t="s">
        <v>365</v>
      </c>
      <c r="J18" s="37"/>
      <c r="K18" s="37"/>
      <c r="L18" s="37"/>
      <c r="M18" s="37"/>
      <c r="N18" s="37" t="s">
        <v>364</v>
      </c>
      <c r="O18" s="37" t="s">
        <v>339</v>
      </c>
      <c r="P18" s="37" t="s">
        <v>309</v>
      </c>
      <c r="Q18" s="37"/>
      <c r="R18" s="37" t="s">
        <v>312</v>
      </c>
      <c r="S18" s="37" t="s">
        <v>385</v>
      </c>
      <c r="T18" s="37"/>
      <c r="U18" s="37"/>
      <c r="V18" s="37"/>
      <c r="W18" s="37"/>
      <c r="X18" s="37"/>
      <c r="Y18" s="37"/>
      <c r="Z18" s="37" t="s">
        <v>393</v>
      </c>
      <c r="AA18" s="37" t="s">
        <v>366</v>
      </c>
      <c r="AB18" s="37" t="s">
        <v>308</v>
      </c>
      <c r="AG18" s="33"/>
    </row>
    <row r="19" spans="4:33" s="32" customFormat="1" ht="27" customHeight="1" x14ac:dyDescent="0.25">
      <c r="D19" s="37" t="s">
        <v>352</v>
      </c>
      <c r="E19" s="37" t="s">
        <v>311</v>
      </c>
      <c r="F19" s="38" t="s">
        <v>327</v>
      </c>
      <c r="G19" s="37" t="s">
        <v>307</v>
      </c>
      <c r="H19" s="37">
        <v>24</v>
      </c>
      <c r="I19" s="37" t="s">
        <v>329</v>
      </c>
      <c r="J19" s="37"/>
      <c r="K19" s="37"/>
      <c r="L19" s="37"/>
      <c r="M19" s="37"/>
      <c r="N19" s="37" t="s">
        <v>406</v>
      </c>
      <c r="O19" s="37" t="s">
        <v>284</v>
      </c>
      <c r="P19" s="37" t="s">
        <v>284</v>
      </c>
      <c r="Q19" s="37"/>
      <c r="R19" s="37" t="s">
        <v>312</v>
      </c>
      <c r="S19" s="37" t="s">
        <v>407</v>
      </c>
      <c r="T19" s="37"/>
      <c r="U19" s="37"/>
      <c r="V19" s="37"/>
      <c r="W19" s="37"/>
      <c r="X19" s="37"/>
      <c r="Y19" s="37"/>
      <c r="Z19" s="37" t="s">
        <v>393</v>
      </c>
      <c r="AA19" s="37" t="s">
        <v>330</v>
      </c>
      <c r="AB19" s="37" t="s">
        <v>308</v>
      </c>
      <c r="AG19" s="33"/>
    </row>
    <row r="20" spans="4:33" s="32" customFormat="1" x14ac:dyDescent="0.25">
      <c r="F20" s="33"/>
      <c r="N20" s="33"/>
      <c r="O20" s="33"/>
      <c r="P20" s="33"/>
      <c r="AA20" s="37"/>
      <c r="AG20" s="33"/>
    </row>
  </sheetData>
  <conditionalFormatting sqref="F3:F19">
    <cfRule type="duplicateValues" dxfId="10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zoomScale="85" zoomScaleNormal="85" workbookViewId="0">
      <selection activeCell="A5" sqref="A5:E5"/>
    </sheetView>
  </sheetViews>
  <sheetFormatPr defaultColWidth="9.140625" defaultRowHeight="12" x14ac:dyDescent="0.25"/>
  <cols>
    <col min="1" max="1" width="4.85546875" style="77" customWidth="1"/>
    <col min="2" max="2" width="22.42578125" style="77" customWidth="1"/>
    <col min="3" max="4" width="29.42578125" style="77" customWidth="1"/>
    <col min="5" max="5" width="16.140625" style="77" customWidth="1"/>
    <col min="6" max="6" width="16.85546875" style="77" customWidth="1"/>
    <col min="7" max="7" width="16.7109375" style="77" customWidth="1"/>
    <col min="8" max="8" width="6.28515625" style="77" customWidth="1"/>
    <col min="9" max="9" width="6.85546875" style="77" customWidth="1"/>
    <col min="10" max="10" width="18.42578125" style="78" customWidth="1"/>
    <col min="11" max="11" width="26.140625" style="77" customWidth="1"/>
    <col min="12" max="12" width="22.28515625" style="77" customWidth="1"/>
    <col min="13" max="13" width="44.42578125" style="77" customWidth="1"/>
    <col min="14" max="14" width="22.42578125" style="77" customWidth="1"/>
    <col min="15" max="15" width="22.7109375" style="77" customWidth="1"/>
    <col min="16" max="16" width="27.42578125" style="77" customWidth="1"/>
    <col min="17" max="17" width="3" style="77" hidden="1" customWidth="1"/>
    <col min="18" max="18" width="13.28515625" style="77" customWidth="1"/>
    <col min="19" max="19" width="9.140625" style="77"/>
    <col min="20" max="20" width="27.42578125" style="77" customWidth="1"/>
    <col min="21" max="21" width="18.140625" style="77" customWidth="1"/>
    <col min="22" max="22" width="33.85546875" style="77" customWidth="1"/>
    <col min="23" max="23" width="18" style="77" customWidth="1"/>
    <col min="24" max="24" width="10.42578125" style="77" customWidth="1"/>
    <col min="25" max="25" width="24.42578125" style="77" customWidth="1"/>
    <col min="26" max="26" width="23.7109375" style="77" customWidth="1"/>
    <col min="27" max="27" width="13.28515625" style="77" customWidth="1"/>
    <col min="28" max="28" width="16.42578125" style="77" customWidth="1"/>
    <col min="29" max="29" width="9.140625" style="77"/>
    <col min="30" max="30" width="13.42578125" style="77" customWidth="1"/>
    <col min="31" max="31" width="15.28515625" style="77" customWidth="1"/>
    <col min="32" max="16384" width="9.140625" style="77"/>
  </cols>
  <sheetData>
    <row r="1" spans="1:31" ht="21" customHeight="1" x14ac:dyDescent="0.25">
      <c r="A1" s="140" t="s">
        <v>474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31" x14ac:dyDescent="0.25">
      <c r="A2" s="140" t="s">
        <v>475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4" spans="1:31" x14ac:dyDescent="0.25">
      <c r="A4" s="140"/>
      <c r="B4" s="140"/>
      <c r="C4" s="79"/>
      <c r="D4" s="82"/>
      <c r="E4" s="79"/>
    </row>
    <row r="5" spans="1:31" x14ac:dyDescent="0.25">
      <c r="A5" s="141" t="s">
        <v>488</v>
      </c>
      <c r="B5" s="141"/>
      <c r="C5" s="141"/>
      <c r="D5" s="141"/>
      <c r="E5" s="141"/>
    </row>
    <row r="6" spans="1:31" customFormat="1" ht="18.75" customHeight="1" x14ac:dyDescent="0.25">
      <c r="A6" t="s">
        <v>1</v>
      </c>
      <c r="B6" s="81" t="s">
        <v>442</v>
      </c>
      <c r="C6" t="s">
        <v>431</v>
      </c>
      <c r="D6" t="s">
        <v>465</v>
      </c>
      <c r="E6" t="s">
        <v>432</v>
      </c>
      <c r="F6" t="s">
        <v>2</v>
      </c>
      <c r="G6" t="s">
        <v>433</v>
      </c>
      <c r="H6" t="s">
        <v>466</v>
      </c>
      <c r="I6" t="s">
        <v>467</v>
      </c>
      <c r="J6" t="s">
        <v>434</v>
      </c>
      <c r="K6" t="s">
        <v>435</v>
      </c>
      <c r="L6" t="s">
        <v>436</v>
      </c>
      <c r="M6" t="s">
        <v>437</v>
      </c>
      <c r="N6" t="s">
        <v>443</v>
      </c>
      <c r="O6" t="s">
        <v>444</v>
      </c>
      <c r="P6" t="s">
        <v>445</v>
      </c>
      <c r="Q6" t="s">
        <v>446</v>
      </c>
      <c r="R6" t="s">
        <v>447</v>
      </c>
      <c r="S6" t="s">
        <v>448</v>
      </c>
      <c r="T6" t="s">
        <v>449</v>
      </c>
      <c r="U6" s="84" t="s">
        <v>450</v>
      </c>
      <c r="V6" t="s">
        <v>440</v>
      </c>
      <c r="W6" s="84" t="s">
        <v>451</v>
      </c>
      <c r="X6" s="84" t="s">
        <v>452</v>
      </c>
      <c r="Y6" t="s">
        <v>438</v>
      </c>
      <c r="Z6" t="s">
        <v>469</v>
      </c>
      <c r="AA6" t="s">
        <v>470</v>
      </c>
      <c r="AB6" s="84" t="s">
        <v>471</v>
      </c>
      <c r="AC6" t="s">
        <v>453</v>
      </c>
      <c r="AD6" s="83" t="s">
        <v>454</v>
      </c>
      <c r="AE6" s="83" t="s">
        <v>455</v>
      </c>
    </row>
    <row r="7" spans="1:31" ht="15" x14ac:dyDescent="0.25">
      <c r="A7" s="77">
        <v>1</v>
      </c>
      <c r="B7" s="120" t="s">
        <v>486</v>
      </c>
      <c r="C7" t="s">
        <v>478</v>
      </c>
      <c r="D7" t="s">
        <v>476</v>
      </c>
      <c r="E7" t="s">
        <v>283</v>
      </c>
      <c r="F7" t="s">
        <v>309</v>
      </c>
      <c r="G7" t="s">
        <v>346</v>
      </c>
      <c r="H7">
        <v>9</v>
      </c>
      <c r="I7">
        <v>15</v>
      </c>
      <c r="J7" t="s">
        <v>479</v>
      </c>
      <c r="K7">
        <v>53</v>
      </c>
      <c r="L7" t="s">
        <v>307</v>
      </c>
      <c r="M7" t="s">
        <v>480</v>
      </c>
      <c r="N7" t="s">
        <v>481</v>
      </c>
      <c r="O7" t="s">
        <v>482</v>
      </c>
      <c r="P7" t="s">
        <v>483</v>
      </c>
      <c r="Q7"/>
      <c r="R7"/>
      <c r="S7"/>
      <c r="T7" t="s">
        <v>484</v>
      </c>
      <c r="U7" s="84"/>
      <c r="V7" t="s">
        <v>485</v>
      </c>
      <c r="W7" s="84">
        <v>44288</v>
      </c>
      <c r="X7" s="84"/>
      <c r="Y7" t="s">
        <v>477</v>
      </c>
      <c r="Z7"/>
      <c r="AA7"/>
      <c r="AB7" s="84"/>
      <c r="AC7">
        <v>5</v>
      </c>
      <c r="AD7" s="83">
        <v>44688.396423610997</v>
      </c>
      <c r="AE7" s="83">
        <v>44289.381631944001</v>
      </c>
    </row>
  </sheetData>
  <sortState ref="B7:AE12">
    <sortCondition sortBy="cellColor" ref="B7:B12" dxfId="9"/>
  </sortState>
  <mergeCells count="4">
    <mergeCell ref="A1:O1"/>
    <mergeCell ref="A2:O2"/>
    <mergeCell ref="A4:B4"/>
    <mergeCell ref="A5:E5"/>
  </mergeCells>
  <phoneticPr fontId="17" type="noConversion"/>
  <conditionalFormatting sqref="B1:C6 B11:C1048576">
    <cfRule type="duplicateValues" dxfId="8" priority="2"/>
    <cfRule type="duplicateValues" dxfId="7" priority="603"/>
    <cfRule type="duplicateValues" dxfId="6" priority="604"/>
    <cfRule type="duplicateValues" dxfId="5" priority="605"/>
    <cfRule type="duplicateValues" dxfId="4" priority="606"/>
  </conditionalFormatting>
  <conditionalFormatting sqref="C1:C6 C11:C1048576">
    <cfRule type="duplicateValues" dxfId="3" priority="615"/>
  </conditionalFormatting>
  <conditionalFormatting sqref="B1:B6 B11:B1048576">
    <cfRule type="duplicateValues" dxfId="2" priority="618"/>
    <cfRule type="duplicateValues" dxfId="1" priority="619"/>
    <cfRule type="duplicateValues" dxfId="0" priority="620"/>
  </conditionalFormatting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"/>
  <sheetViews>
    <sheetView workbookViewId="0">
      <selection activeCell="B2" sqref="B2"/>
    </sheetView>
  </sheetViews>
  <sheetFormatPr defaultColWidth="9.140625" defaultRowHeight="15" x14ac:dyDescent="0.25"/>
  <cols>
    <col min="1" max="1" width="4.28515625" style="14" customWidth="1"/>
    <col min="2" max="2" width="20.7109375" style="14" customWidth="1"/>
    <col min="3" max="4" width="25.7109375" style="14" customWidth="1"/>
    <col min="5" max="5" width="12.85546875" style="14" customWidth="1"/>
    <col min="6" max="6" width="14.140625" style="14" customWidth="1"/>
    <col min="7" max="7" width="17.42578125" style="14" customWidth="1"/>
    <col min="8" max="8" width="39.42578125" style="14" customWidth="1"/>
    <col min="9" max="9" width="7.42578125" style="14" customWidth="1"/>
    <col min="10" max="10" width="12" style="14" customWidth="1"/>
    <col min="11" max="11" width="18.140625" style="14" customWidth="1"/>
    <col min="12" max="12" width="18.28515625" style="14" customWidth="1"/>
    <col min="13" max="13" width="19.42578125" style="14" customWidth="1"/>
    <col min="14" max="14" width="19.140625" style="14" customWidth="1"/>
    <col min="15" max="15" width="18.42578125" style="14" customWidth="1"/>
    <col min="16" max="19" width="9.140625" style="14"/>
    <col min="20" max="20" width="27.28515625" style="14" customWidth="1"/>
    <col min="21" max="21" width="19.42578125" style="14" customWidth="1"/>
    <col min="22" max="22" width="14.140625" style="14" customWidth="1"/>
    <col min="23" max="23" width="17.140625" style="14" customWidth="1"/>
    <col min="24" max="24" width="9.140625" style="14"/>
    <col min="25" max="25" width="22.42578125" style="14" customWidth="1"/>
    <col min="26" max="26" width="23.140625" style="14" customWidth="1"/>
    <col min="27" max="29" width="9.140625" style="14"/>
    <col min="30" max="30" width="13.28515625" style="14" customWidth="1"/>
    <col min="31" max="31" width="13" style="14" customWidth="1"/>
    <col min="32" max="16384" width="9.140625" style="14"/>
  </cols>
  <sheetData>
    <row r="1" spans="1:31" customFormat="1" x14ac:dyDescent="0.25">
      <c r="A1" s="8" t="s">
        <v>1</v>
      </c>
      <c r="B1" s="97" t="s">
        <v>442</v>
      </c>
      <c r="C1" s="8" t="s">
        <v>431</v>
      </c>
      <c r="D1" s="8" t="s">
        <v>465</v>
      </c>
      <c r="E1" s="8" t="s">
        <v>432</v>
      </c>
      <c r="F1" s="8" t="s">
        <v>2</v>
      </c>
      <c r="G1" s="8" t="s">
        <v>433</v>
      </c>
      <c r="H1" s="8" t="s">
        <v>466</v>
      </c>
      <c r="I1" s="8" t="s">
        <v>467</v>
      </c>
      <c r="J1" s="8" t="s">
        <v>434</v>
      </c>
      <c r="K1" s="8" t="s">
        <v>435</v>
      </c>
      <c r="L1" s="8" t="s">
        <v>436</v>
      </c>
      <c r="M1" s="8" t="s">
        <v>437</v>
      </c>
      <c r="N1" s="8" t="s">
        <v>443</v>
      </c>
      <c r="O1" s="8" t="s">
        <v>444</v>
      </c>
      <c r="P1" s="8" t="s">
        <v>445</v>
      </c>
      <c r="Q1" s="8" t="s">
        <v>446</v>
      </c>
      <c r="R1" s="8" t="s">
        <v>447</v>
      </c>
      <c r="S1" s="8" t="s">
        <v>448</v>
      </c>
      <c r="T1" s="8" t="s">
        <v>449</v>
      </c>
      <c r="U1" s="98" t="s">
        <v>450</v>
      </c>
      <c r="V1" s="8" t="s">
        <v>440</v>
      </c>
      <c r="W1" s="98" t="s">
        <v>451</v>
      </c>
      <c r="X1" s="98" t="s">
        <v>452</v>
      </c>
      <c r="Y1" s="8" t="s">
        <v>438</v>
      </c>
      <c r="Z1" s="8" t="s">
        <v>469</v>
      </c>
      <c r="AA1" s="8" t="s">
        <v>470</v>
      </c>
      <c r="AB1" s="98" t="s">
        <v>471</v>
      </c>
      <c r="AC1" s="8" t="s">
        <v>453</v>
      </c>
      <c r="AD1" s="99" t="s">
        <v>454</v>
      </c>
      <c r="AE1" s="99" t="s">
        <v>455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"/>
  <sheetViews>
    <sheetView zoomScale="90" zoomScaleNormal="90" workbookViewId="0">
      <selection activeCell="A2" sqref="A2"/>
    </sheetView>
  </sheetViews>
  <sheetFormatPr defaultColWidth="9.140625" defaultRowHeight="15" x14ac:dyDescent="0.25"/>
  <cols>
    <col min="1" max="1" width="5.7109375" style="14" customWidth="1"/>
    <col min="2" max="2" width="20.7109375" style="14" customWidth="1"/>
    <col min="3" max="4" width="29.85546875" style="14" customWidth="1"/>
    <col min="5" max="5" width="12.85546875" style="14" customWidth="1"/>
    <col min="6" max="6" width="14.28515625" style="14" customWidth="1"/>
    <col min="7" max="7" width="13.42578125" style="14" customWidth="1"/>
    <col min="8" max="8" width="24.42578125" style="14" customWidth="1"/>
    <col min="9" max="9" width="8" style="14" customWidth="1"/>
    <col min="10" max="10" width="12.7109375" style="14" customWidth="1"/>
    <col min="11" max="11" width="19.28515625" style="14" customWidth="1"/>
    <col min="12" max="12" width="20.140625" style="14" customWidth="1"/>
    <col min="13" max="13" width="12.42578125" style="14" customWidth="1"/>
    <col min="14" max="14" width="13.140625" style="14" customWidth="1"/>
    <col min="15" max="17" width="9.140625" style="14"/>
    <col min="18" max="18" width="15.42578125" style="14" customWidth="1"/>
    <col min="19" max="19" width="17.28515625" style="14" customWidth="1"/>
    <col min="20" max="20" width="28.140625" style="14" customWidth="1"/>
    <col min="21" max="21" width="14.42578125" style="14" customWidth="1"/>
    <col min="22" max="22" width="9.140625" style="14"/>
    <col min="23" max="23" width="17.42578125" style="14" customWidth="1"/>
    <col min="24" max="24" width="9.140625" style="14"/>
    <col min="25" max="25" width="20.42578125" style="14" customWidth="1"/>
    <col min="26" max="26" width="22.7109375" style="14" customWidth="1"/>
    <col min="27" max="16384" width="9.140625" style="14"/>
  </cols>
  <sheetData>
    <row r="1" spans="1:31" customFormat="1" x14ac:dyDescent="0.25">
      <c r="A1" t="s">
        <v>468</v>
      </c>
      <c r="B1" s="81" t="s">
        <v>442</v>
      </c>
      <c r="C1" t="s">
        <v>431</v>
      </c>
      <c r="D1" t="s">
        <v>465</v>
      </c>
      <c r="E1" t="s">
        <v>432</v>
      </c>
      <c r="F1" t="s">
        <v>2</v>
      </c>
      <c r="G1" t="s">
        <v>433</v>
      </c>
      <c r="H1" t="s">
        <v>466</v>
      </c>
      <c r="I1" t="s">
        <v>467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84" t="s">
        <v>450</v>
      </c>
      <c r="V1" t="s">
        <v>440</v>
      </c>
      <c r="W1" s="84" t="s">
        <v>451</v>
      </c>
      <c r="X1" s="84" t="s">
        <v>452</v>
      </c>
      <c r="Y1" t="s">
        <v>438</v>
      </c>
      <c r="Z1" t="s">
        <v>469</v>
      </c>
      <c r="AA1" t="s">
        <v>470</v>
      </c>
      <c r="AB1" s="84" t="s">
        <v>471</v>
      </c>
      <c r="AC1" t="s">
        <v>453</v>
      </c>
      <c r="AD1" s="83" t="s">
        <v>454</v>
      </c>
      <c r="AE1" s="83" t="s">
        <v>455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67"/>
  <sheetViews>
    <sheetView topLeftCell="A222" workbookViewId="0">
      <selection activeCell="A222" sqref="A1:XFD1048576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92" customWidth="1"/>
    <col min="9" max="9" width="12.7109375" customWidth="1"/>
    <col min="10" max="10" width="16.28515625" customWidth="1"/>
    <col min="11" max="11" width="15.42578125" customWidth="1"/>
  </cols>
  <sheetData>
    <row r="3" spans="1:7" x14ac:dyDescent="0.25">
      <c r="A3" s="6" t="s">
        <v>462</v>
      </c>
      <c r="B3" s="6" t="s">
        <v>463</v>
      </c>
      <c r="C3" s="6" t="s">
        <v>461</v>
      </c>
      <c r="D3" s="6" t="s">
        <v>464</v>
      </c>
      <c r="E3" s="6" t="s">
        <v>460</v>
      </c>
      <c r="F3" s="6" t="s">
        <v>459</v>
      </c>
      <c r="G3" s="71" t="s">
        <v>473</v>
      </c>
    </row>
    <row r="4" spans="1:7" hidden="1" x14ac:dyDescent="0.25">
      <c r="A4" s="80">
        <v>44228</v>
      </c>
      <c r="B4" s="6"/>
      <c r="C4" s="6"/>
      <c r="D4" s="6"/>
      <c r="E4" s="6"/>
      <c r="F4" s="6"/>
      <c r="G4" s="91"/>
    </row>
    <row r="5" spans="1:7" hidden="1" x14ac:dyDescent="0.25">
      <c r="A5" s="80">
        <v>44229</v>
      </c>
      <c r="B5" s="6"/>
      <c r="C5" s="6"/>
      <c r="D5" s="6"/>
      <c r="E5" s="6"/>
      <c r="F5" s="6"/>
      <c r="G5" s="91"/>
    </row>
    <row r="6" spans="1:7" hidden="1" x14ac:dyDescent="0.25">
      <c r="A6" s="80">
        <v>44230</v>
      </c>
      <c r="B6" s="6"/>
      <c r="C6" s="6"/>
      <c r="D6" s="6"/>
      <c r="E6" s="6"/>
      <c r="F6" s="6"/>
      <c r="G6" s="91"/>
    </row>
    <row r="7" spans="1:7" hidden="1" x14ac:dyDescent="0.25">
      <c r="A7" s="80">
        <v>44231</v>
      </c>
      <c r="B7" s="6"/>
      <c r="C7" s="6"/>
      <c r="D7" s="6"/>
      <c r="E7" s="6"/>
      <c r="F7" s="6"/>
      <c r="G7" s="91"/>
    </row>
    <row r="8" spans="1:7" hidden="1" x14ac:dyDescent="0.25">
      <c r="A8" s="80">
        <v>44232</v>
      </c>
      <c r="B8" s="6"/>
      <c r="C8" s="6"/>
      <c r="D8" s="6"/>
      <c r="E8" s="6"/>
      <c r="F8" s="6"/>
      <c r="G8" s="91"/>
    </row>
    <row r="9" spans="1:7" hidden="1" x14ac:dyDescent="0.25">
      <c r="A9" s="80">
        <v>44233</v>
      </c>
      <c r="B9" s="6">
        <v>8</v>
      </c>
      <c r="C9" s="6">
        <v>69</v>
      </c>
      <c r="D9" s="6">
        <v>6</v>
      </c>
      <c r="E9" s="6">
        <v>1991</v>
      </c>
      <c r="F9" s="6">
        <f>E9+C9</f>
        <v>2060</v>
      </c>
      <c r="G9" s="91">
        <f>F9-E9-C9</f>
        <v>0</v>
      </c>
    </row>
    <row r="10" spans="1:7" hidden="1" x14ac:dyDescent="0.25">
      <c r="A10" s="80">
        <v>44234</v>
      </c>
      <c r="B10" s="6">
        <v>7</v>
      </c>
      <c r="C10" s="6">
        <v>70</v>
      </c>
      <c r="D10" s="6">
        <v>5</v>
      </c>
      <c r="E10" s="6">
        <f>E9+D10</f>
        <v>1996</v>
      </c>
      <c r="F10" s="6">
        <f t="shared" ref="F10:F73" si="0">E10+C10</f>
        <v>2066</v>
      </c>
      <c r="G10" s="91">
        <f t="shared" ref="G10:G41" si="1">F10-E10-C10</f>
        <v>0</v>
      </c>
    </row>
    <row r="11" spans="1:7" hidden="1" x14ac:dyDescent="0.25">
      <c r="A11" s="80">
        <v>44235</v>
      </c>
      <c r="B11" s="6">
        <v>22</v>
      </c>
      <c r="C11" s="6">
        <v>74</v>
      </c>
      <c r="D11" s="6">
        <v>18</v>
      </c>
      <c r="E11" s="6">
        <f t="shared" ref="E11:E74" si="2">E10+D11</f>
        <v>2014</v>
      </c>
      <c r="F11" s="6">
        <f t="shared" si="0"/>
        <v>2088</v>
      </c>
      <c r="G11" s="91">
        <f t="shared" si="1"/>
        <v>0</v>
      </c>
    </row>
    <row r="12" spans="1:7" hidden="1" x14ac:dyDescent="0.25">
      <c r="A12" s="80">
        <v>44236</v>
      </c>
      <c r="B12" s="6">
        <v>16</v>
      </c>
      <c r="C12" s="6">
        <v>53</v>
      </c>
      <c r="D12" s="6">
        <v>37</v>
      </c>
      <c r="E12" s="6">
        <f t="shared" si="2"/>
        <v>2051</v>
      </c>
      <c r="F12" s="6">
        <f t="shared" si="0"/>
        <v>2104</v>
      </c>
      <c r="G12" s="91">
        <f t="shared" si="1"/>
        <v>0</v>
      </c>
    </row>
    <row r="13" spans="1:7" hidden="1" x14ac:dyDescent="0.25">
      <c r="A13" s="80">
        <v>44237</v>
      </c>
      <c r="B13" s="6">
        <v>14</v>
      </c>
      <c r="C13" s="6">
        <v>47</v>
      </c>
      <c r="D13" s="6">
        <v>20</v>
      </c>
      <c r="E13" s="6">
        <f t="shared" si="2"/>
        <v>2071</v>
      </c>
      <c r="F13" s="6">
        <f t="shared" si="0"/>
        <v>2118</v>
      </c>
      <c r="G13" s="91">
        <f t="shared" si="1"/>
        <v>0</v>
      </c>
    </row>
    <row r="14" spans="1:7" hidden="1" x14ac:dyDescent="0.25">
      <c r="A14" s="80">
        <v>44238</v>
      </c>
      <c r="B14" s="6">
        <v>9</v>
      </c>
      <c r="C14" s="6">
        <v>34</v>
      </c>
      <c r="D14" s="6">
        <v>22</v>
      </c>
      <c r="E14" s="6">
        <f t="shared" si="2"/>
        <v>2093</v>
      </c>
      <c r="F14" s="6">
        <f t="shared" si="0"/>
        <v>2127</v>
      </c>
      <c r="G14" s="91">
        <f t="shared" si="1"/>
        <v>0</v>
      </c>
    </row>
    <row r="15" spans="1:7" hidden="1" x14ac:dyDescent="0.25">
      <c r="A15" s="80">
        <v>44239</v>
      </c>
      <c r="B15" s="6">
        <v>8</v>
      </c>
      <c r="C15" s="6">
        <v>35</v>
      </c>
      <c r="D15" s="6">
        <v>7</v>
      </c>
      <c r="E15" s="6">
        <f t="shared" si="2"/>
        <v>2100</v>
      </c>
      <c r="F15" s="6">
        <f t="shared" si="0"/>
        <v>2135</v>
      </c>
      <c r="G15" s="91">
        <f t="shared" si="1"/>
        <v>0</v>
      </c>
    </row>
    <row r="16" spans="1:7" hidden="1" x14ac:dyDescent="0.25">
      <c r="A16" s="80">
        <v>44240</v>
      </c>
      <c r="B16" s="6">
        <v>11</v>
      </c>
      <c r="C16" s="6">
        <v>38</v>
      </c>
      <c r="D16" s="6">
        <v>8</v>
      </c>
      <c r="E16" s="6">
        <f t="shared" si="2"/>
        <v>2108</v>
      </c>
      <c r="F16" s="6">
        <f t="shared" si="0"/>
        <v>2146</v>
      </c>
      <c r="G16" s="91">
        <f t="shared" si="1"/>
        <v>0</v>
      </c>
    </row>
    <row r="17" spans="1:8" hidden="1" x14ac:dyDescent="0.25">
      <c r="A17" s="80">
        <v>44241</v>
      </c>
      <c r="B17" s="6">
        <v>4</v>
      </c>
      <c r="C17" s="6">
        <v>35</v>
      </c>
      <c r="D17" s="6">
        <v>7</v>
      </c>
      <c r="E17" s="6">
        <f t="shared" si="2"/>
        <v>2115</v>
      </c>
      <c r="F17" s="6">
        <f t="shared" si="0"/>
        <v>2150</v>
      </c>
      <c r="G17" s="91">
        <f t="shared" si="1"/>
        <v>0</v>
      </c>
      <c r="H17" s="90"/>
    </row>
    <row r="18" spans="1:8" hidden="1" x14ac:dyDescent="0.25">
      <c r="A18" s="80">
        <v>44242</v>
      </c>
      <c r="B18" s="6">
        <v>32</v>
      </c>
      <c r="C18" s="6">
        <v>46</v>
      </c>
      <c r="D18" s="6">
        <v>21</v>
      </c>
      <c r="E18" s="6">
        <f t="shared" si="2"/>
        <v>2136</v>
      </c>
      <c r="F18" s="6">
        <f t="shared" si="0"/>
        <v>2182</v>
      </c>
      <c r="G18" s="91">
        <f t="shared" si="1"/>
        <v>0</v>
      </c>
    </row>
    <row r="19" spans="1:8" hidden="1" x14ac:dyDescent="0.25">
      <c r="A19" s="80">
        <v>44243</v>
      </c>
      <c r="B19" s="6">
        <v>11</v>
      </c>
      <c r="C19" s="6">
        <f>C18-D19+B19</f>
        <v>42</v>
      </c>
      <c r="D19" s="6">
        <v>15</v>
      </c>
      <c r="E19" s="6">
        <f t="shared" si="2"/>
        <v>2151</v>
      </c>
      <c r="F19" s="6">
        <f t="shared" si="0"/>
        <v>2193</v>
      </c>
      <c r="G19" s="91">
        <f t="shared" si="1"/>
        <v>0</v>
      </c>
    </row>
    <row r="20" spans="1:8" hidden="1" x14ac:dyDescent="0.25">
      <c r="A20" s="80">
        <v>44244</v>
      </c>
      <c r="B20" s="6">
        <v>11</v>
      </c>
      <c r="C20" s="6">
        <f t="shared" ref="C20:C83" si="3">C19-D20+B20</f>
        <v>40</v>
      </c>
      <c r="D20" s="6">
        <v>13</v>
      </c>
      <c r="E20" s="6">
        <f t="shared" si="2"/>
        <v>2164</v>
      </c>
      <c r="F20" s="6">
        <f t="shared" si="0"/>
        <v>2204</v>
      </c>
      <c r="G20" s="91">
        <f t="shared" si="1"/>
        <v>0</v>
      </c>
    </row>
    <row r="21" spans="1:8" hidden="1" x14ac:dyDescent="0.25">
      <c r="A21" s="80">
        <v>44245</v>
      </c>
      <c r="B21" s="6">
        <v>17</v>
      </c>
      <c r="C21" s="6">
        <f t="shared" si="3"/>
        <v>41</v>
      </c>
      <c r="D21" s="6">
        <v>16</v>
      </c>
      <c r="E21" s="6">
        <f t="shared" si="2"/>
        <v>2180</v>
      </c>
      <c r="F21" s="6">
        <f t="shared" si="0"/>
        <v>2221</v>
      </c>
      <c r="G21" s="91">
        <f t="shared" si="1"/>
        <v>0</v>
      </c>
    </row>
    <row r="22" spans="1:8" hidden="1" x14ac:dyDescent="0.25">
      <c r="A22" s="80">
        <v>44246</v>
      </c>
      <c r="B22" s="6">
        <v>11</v>
      </c>
      <c r="C22" s="6">
        <f t="shared" si="3"/>
        <v>39</v>
      </c>
      <c r="D22" s="6">
        <v>13</v>
      </c>
      <c r="E22" s="6">
        <f t="shared" si="2"/>
        <v>2193</v>
      </c>
      <c r="F22" s="6">
        <f t="shared" si="0"/>
        <v>2232</v>
      </c>
      <c r="G22" s="91">
        <f t="shared" si="1"/>
        <v>0</v>
      </c>
    </row>
    <row r="23" spans="1:8" hidden="1" x14ac:dyDescent="0.25">
      <c r="A23" s="80">
        <v>44247</v>
      </c>
      <c r="B23" s="6">
        <v>5</v>
      </c>
      <c r="C23" s="6">
        <f t="shared" si="3"/>
        <v>38</v>
      </c>
      <c r="D23" s="6">
        <v>6</v>
      </c>
      <c r="E23" s="6">
        <f t="shared" si="2"/>
        <v>2199</v>
      </c>
      <c r="F23" s="6">
        <f t="shared" si="0"/>
        <v>2237</v>
      </c>
      <c r="G23" s="91">
        <f t="shared" si="1"/>
        <v>0</v>
      </c>
    </row>
    <row r="24" spans="1:8" hidden="1" x14ac:dyDescent="0.25">
      <c r="A24" s="80">
        <v>44248</v>
      </c>
      <c r="B24" s="6">
        <v>6</v>
      </c>
      <c r="C24" s="6">
        <f t="shared" si="3"/>
        <v>36</v>
      </c>
      <c r="D24" s="6">
        <v>8</v>
      </c>
      <c r="E24" s="6">
        <f t="shared" si="2"/>
        <v>2207</v>
      </c>
      <c r="F24" s="6">
        <f t="shared" si="0"/>
        <v>2243</v>
      </c>
      <c r="G24" s="91">
        <f t="shared" si="1"/>
        <v>0</v>
      </c>
    </row>
    <row r="25" spans="1:8" hidden="1" x14ac:dyDescent="0.25">
      <c r="A25" s="80">
        <v>44249</v>
      </c>
      <c r="B25" s="6">
        <v>15</v>
      </c>
      <c r="C25" s="6">
        <f t="shared" si="3"/>
        <v>28</v>
      </c>
      <c r="D25" s="6">
        <v>23</v>
      </c>
      <c r="E25" s="6">
        <f t="shared" si="2"/>
        <v>2230</v>
      </c>
      <c r="F25" s="6">
        <f t="shared" si="0"/>
        <v>2258</v>
      </c>
      <c r="G25" s="91">
        <f t="shared" si="1"/>
        <v>0</v>
      </c>
    </row>
    <row r="26" spans="1:8" hidden="1" x14ac:dyDescent="0.25">
      <c r="A26" s="80">
        <v>44250</v>
      </c>
      <c r="B26" s="6">
        <v>13</v>
      </c>
      <c r="C26" s="6">
        <f t="shared" si="3"/>
        <v>31</v>
      </c>
      <c r="D26" s="6">
        <v>10</v>
      </c>
      <c r="E26" s="6">
        <f t="shared" si="2"/>
        <v>2240</v>
      </c>
      <c r="F26" s="6">
        <f t="shared" si="0"/>
        <v>2271</v>
      </c>
      <c r="G26" s="91">
        <f t="shared" si="1"/>
        <v>0</v>
      </c>
    </row>
    <row r="27" spans="1:8" hidden="1" x14ac:dyDescent="0.25">
      <c r="A27" s="80">
        <v>44251</v>
      </c>
      <c r="B27" s="6">
        <v>9</v>
      </c>
      <c r="C27" s="6">
        <f t="shared" si="3"/>
        <v>30</v>
      </c>
      <c r="D27" s="6">
        <v>10</v>
      </c>
      <c r="E27" s="6">
        <f t="shared" si="2"/>
        <v>2250</v>
      </c>
      <c r="F27" s="6">
        <f t="shared" si="0"/>
        <v>2280</v>
      </c>
      <c r="G27" s="91">
        <f t="shared" si="1"/>
        <v>0</v>
      </c>
    </row>
    <row r="28" spans="1:8" hidden="1" x14ac:dyDescent="0.25">
      <c r="A28" s="80">
        <v>44252</v>
      </c>
      <c r="B28" s="6">
        <v>7</v>
      </c>
      <c r="C28" s="6">
        <f t="shared" si="3"/>
        <v>30</v>
      </c>
      <c r="D28" s="6">
        <v>7</v>
      </c>
      <c r="E28" s="6">
        <f t="shared" si="2"/>
        <v>2257</v>
      </c>
      <c r="F28" s="6">
        <f t="shared" si="0"/>
        <v>2287</v>
      </c>
      <c r="G28" s="91">
        <f t="shared" si="1"/>
        <v>0</v>
      </c>
    </row>
    <row r="29" spans="1:8" hidden="1" x14ac:dyDescent="0.25">
      <c r="A29" s="80">
        <v>44253</v>
      </c>
      <c r="B29" s="6">
        <v>10</v>
      </c>
      <c r="C29" s="6">
        <f t="shared" si="3"/>
        <v>29</v>
      </c>
      <c r="D29" s="6">
        <v>11</v>
      </c>
      <c r="E29" s="6">
        <f t="shared" si="2"/>
        <v>2268</v>
      </c>
      <c r="F29" s="6">
        <f t="shared" si="0"/>
        <v>2297</v>
      </c>
      <c r="G29" s="91">
        <f t="shared" si="1"/>
        <v>0</v>
      </c>
    </row>
    <row r="30" spans="1:8" hidden="1" x14ac:dyDescent="0.25">
      <c r="A30" s="80">
        <v>44254</v>
      </c>
      <c r="B30" s="6">
        <v>7</v>
      </c>
      <c r="C30" s="6">
        <f t="shared" si="3"/>
        <v>30</v>
      </c>
      <c r="D30" s="6">
        <v>6</v>
      </c>
      <c r="E30" s="6">
        <f t="shared" si="2"/>
        <v>2274</v>
      </c>
      <c r="F30" s="6">
        <f t="shared" si="0"/>
        <v>2304</v>
      </c>
      <c r="G30" s="91">
        <f t="shared" si="1"/>
        <v>0</v>
      </c>
    </row>
    <row r="31" spans="1:8" hidden="1" x14ac:dyDescent="0.25">
      <c r="A31" s="80">
        <v>44255</v>
      </c>
      <c r="B31" s="6">
        <v>1</v>
      </c>
      <c r="C31" s="6">
        <f t="shared" si="3"/>
        <v>30</v>
      </c>
      <c r="D31" s="6">
        <v>1</v>
      </c>
      <c r="E31" s="6">
        <f t="shared" si="2"/>
        <v>2275</v>
      </c>
      <c r="F31" s="6">
        <f t="shared" si="0"/>
        <v>2305</v>
      </c>
      <c r="G31" s="91">
        <f t="shared" si="1"/>
        <v>0</v>
      </c>
    </row>
    <row r="32" spans="1:8" hidden="1" x14ac:dyDescent="0.25">
      <c r="A32" s="80">
        <v>44256</v>
      </c>
      <c r="B32" s="6">
        <v>14</v>
      </c>
      <c r="C32" s="6">
        <f t="shared" si="3"/>
        <v>34</v>
      </c>
      <c r="D32" s="6">
        <v>10</v>
      </c>
      <c r="E32" s="6">
        <f t="shared" si="2"/>
        <v>2285</v>
      </c>
      <c r="F32" s="6">
        <f t="shared" si="0"/>
        <v>2319</v>
      </c>
      <c r="G32" s="91">
        <f t="shared" si="1"/>
        <v>0</v>
      </c>
    </row>
    <row r="33" spans="1:7" hidden="1" x14ac:dyDescent="0.25">
      <c r="A33" s="80">
        <v>44257</v>
      </c>
      <c r="B33" s="6">
        <v>13</v>
      </c>
      <c r="C33" s="6">
        <f t="shared" si="3"/>
        <v>36</v>
      </c>
      <c r="D33" s="6">
        <v>11</v>
      </c>
      <c r="E33" s="6">
        <f t="shared" si="2"/>
        <v>2296</v>
      </c>
      <c r="F33" s="6">
        <f t="shared" si="0"/>
        <v>2332</v>
      </c>
      <c r="G33" s="91">
        <f t="shared" si="1"/>
        <v>0</v>
      </c>
    </row>
    <row r="34" spans="1:7" hidden="1" x14ac:dyDescent="0.25">
      <c r="A34" s="80">
        <v>44258</v>
      </c>
      <c r="B34" s="6">
        <v>5</v>
      </c>
      <c r="C34" s="6">
        <f t="shared" si="3"/>
        <v>32</v>
      </c>
      <c r="D34" s="6">
        <v>9</v>
      </c>
      <c r="E34" s="6">
        <f t="shared" si="2"/>
        <v>2305</v>
      </c>
      <c r="F34" s="6">
        <f t="shared" si="0"/>
        <v>2337</v>
      </c>
      <c r="G34" s="91">
        <f t="shared" si="1"/>
        <v>0</v>
      </c>
    </row>
    <row r="35" spans="1:7" hidden="1" x14ac:dyDescent="0.25">
      <c r="A35" s="80">
        <v>44259</v>
      </c>
      <c r="B35" s="6">
        <v>18</v>
      </c>
      <c r="C35" s="6">
        <f t="shared" si="3"/>
        <v>34</v>
      </c>
      <c r="D35" s="6">
        <v>16</v>
      </c>
      <c r="E35" s="6">
        <f t="shared" si="2"/>
        <v>2321</v>
      </c>
      <c r="F35" s="6">
        <f t="shared" si="0"/>
        <v>2355</v>
      </c>
      <c r="G35" s="91">
        <f t="shared" si="1"/>
        <v>0</v>
      </c>
    </row>
    <row r="36" spans="1:7" hidden="1" x14ac:dyDescent="0.25">
      <c r="A36" s="80">
        <v>44260</v>
      </c>
      <c r="B36" s="6">
        <v>8</v>
      </c>
      <c r="C36" s="6">
        <f t="shared" si="3"/>
        <v>35</v>
      </c>
      <c r="D36" s="6">
        <v>7</v>
      </c>
      <c r="E36" s="6">
        <f t="shared" si="2"/>
        <v>2328</v>
      </c>
      <c r="F36" s="6">
        <f t="shared" si="0"/>
        <v>2363</v>
      </c>
      <c r="G36" s="91">
        <f t="shared" si="1"/>
        <v>0</v>
      </c>
    </row>
    <row r="37" spans="1:7" hidden="1" x14ac:dyDescent="0.25">
      <c r="A37" s="80">
        <v>44261</v>
      </c>
      <c r="B37" s="6">
        <v>9</v>
      </c>
      <c r="C37" s="6">
        <f t="shared" si="3"/>
        <v>33</v>
      </c>
      <c r="D37" s="6">
        <v>11</v>
      </c>
      <c r="E37" s="6">
        <f t="shared" si="2"/>
        <v>2339</v>
      </c>
      <c r="F37" s="6">
        <f t="shared" si="0"/>
        <v>2372</v>
      </c>
      <c r="G37" s="91">
        <f t="shared" si="1"/>
        <v>0</v>
      </c>
    </row>
    <row r="38" spans="1:7" hidden="1" x14ac:dyDescent="0.25">
      <c r="A38" s="80">
        <v>44262</v>
      </c>
      <c r="B38" s="6">
        <v>2</v>
      </c>
      <c r="C38" s="6">
        <f t="shared" si="3"/>
        <v>34</v>
      </c>
      <c r="D38" s="6">
        <v>1</v>
      </c>
      <c r="E38" s="6">
        <f t="shared" si="2"/>
        <v>2340</v>
      </c>
      <c r="F38" s="6">
        <f t="shared" si="0"/>
        <v>2374</v>
      </c>
      <c r="G38" s="91">
        <f t="shared" si="1"/>
        <v>0</v>
      </c>
    </row>
    <row r="39" spans="1:7" hidden="1" x14ac:dyDescent="0.25">
      <c r="A39" s="80">
        <v>44263</v>
      </c>
      <c r="B39" s="6">
        <v>8</v>
      </c>
      <c r="C39" s="6">
        <f t="shared" si="3"/>
        <v>28</v>
      </c>
      <c r="D39" s="6">
        <v>14</v>
      </c>
      <c r="E39" s="6">
        <f t="shared" si="2"/>
        <v>2354</v>
      </c>
      <c r="F39" s="6">
        <f t="shared" si="0"/>
        <v>2382</v>
      </c>
      <c r="G39" s="91">
        <f t="shared" si="1"/>
        <v>0</v>
      </c>
    </row>
    <row r="40" spans="1:7" hidden="1" x14ac:dyDescent="0.25">
      <c r="A40" s="80">
        <v>44264</v>
      </c>
      <c r="B40" s="6">
        <v>9</v>
      </c>
      <c r="C40" s="6">
        <f t="shared" si="3"/>
        <v>22</v>
      </c>
      <c r="D40" s="6">
        <v>15</v>
      </c>
      <c r="E40" s="6">
        <f t="shared" si="2"/>
        <v>2369</v>
      </c>
      <c r="F40" s="6">
        <f t="shared" si="0"/>
        <v>2391</v>
      </c>
      <c r="G40" s="91">
        <f t="shared" si="1"/>
        <v>0</v>
      </c>
    </row>
    <row r="41" spans="1:7" hidden="1" x14ac:dyDescent="0.25">
      <c r="A41" s="80">
        <v>44265</v>
      </c>
      <c r="B41" s="6">
        <v>15</v>
      </c>
      <c r="C41" s="6">
        <f t="shared" si="3"/>
        <v>25</v>
      </c>
      <c r="D41" s="6">
        <v>12</v>
      </c>
      <c r="E41" s="6">
        <f t="shared" si="2"/>
        <v>2381</v>
      </c>
      <c r="F41" s="6">
        <f t="shared" si="0"/>
        <v>2406</v>
      </c>
      <c r="G41" s="91">
        <f t="shared" si="1"/>
        <v>0</v>
      </c>
    </row>
    <row r="42" spans="1:7" hidden="1" x14ac:dyDescent="0.25">
      <c r="A42" s="80">
        <v>44266</v>
      </c>
      <c r="B42" s="6">
        <v>2</v>
      </c>
      <c r="C42" s="6">
        <f t="shared" si="3"/>
        <v>25</v>
      </c>
      <c r="D42" s="6">
        <v>2</v>
      </c>
      <c r="E42" s="6">
        <f t="shared" si="2"/>
        <v>2383</v>
      </c>
      <c r="F42" s="6">
        <f t="shared" si="0"/>
        <v>2408</v>
      </c>
      <c r="G42" s="91"/>
    </row>
    <row r="43" spans="1:7" hidden="1" x14ac:dyDescent="0.25">
      <c r="A43" s="80">
        <v>44267</v>
      </c>
      <c r="B43" s="6">
        <v>9</v>
      </c>
      <c r="C43" s="6">
        <f t="shared" si="3"/>
        <v>20</v>
      </c>
      <c r="D43" s="6">
        <v>14</v>
      </c>
      <c r="E43" s="6">
        <f t="shared" si="2"/>
        <v>2397</v>
      </c>
      <c r="F43" s="6">
        <f t="shared" si="0"/>
        <v>2417</v>
      </c>
      <c r="G43" s="91"/>
    </row>
    <row r="44" spans="1:7" hidden="1" x14ac:dyDescent="0.25">
      <c r="A44" s="80">
        <v>44268</v>
      </c>
      <c r="B44" s="6">
        <v>8</v>
      </c>
      <c r="C44" s="6">
        <f t="shared" si="3"/>
        <v>23</v>
      </c>
      <c r="D44" s="6">
        <v>5</v>
      </c>
      <c r="E44" s="6">
        <f t="shared" si="2"/>
        <v>2402</v>
      </c>
      <c r="F44" s="6">
        <f t="shared" si="0"/>
        <v>2425</v>
      </c>
      <c r="G44" s="91"/>
    </row>
    <row r="45" spans="1:7" hidden="1" x14ac:dyDescent="0.25">
      <c r="A45" s="80">
        <v>44269</v>
      </c>
      <c r="B45" s="6">
        <v>3</v>
      </c>
      <c r="C45" s="6">
        <f t="shared" si="3"/>
        <v>24</v>
      </c>
      <c r="D45" s="6">
        <v>2</v>
      </c>
      <c r="E45" s="6">
        <f t="shared" si="2"/>
        <v>2404</v>
      </c>
      <c r="F45" s="6">
        <f t="shared" si="0"/>
        <v>2428</v>
      </c>
      <c r="G45" s="91"/>
    </row>
    <row r="46" spans="1:7" hidden="1" x14ac:dyDescent="0.25">
      <c r="A46" s="80">
        <v>44270</v>
      </c>
      <c r="B46" s="6">
        <v>8</v>
      </c>
      <c r="C46" s="6">
        <f t="shared" si="3"/>
        <v>15</v>
      </c>
      <c r="D46" s="6">
        <v>17</v>
      </c>
      <c r="E46" s="6">
        <f t="shared" si="2"/>
        <v>2421</v>
      </c>
      <c r="F46" s="6">
        <f t="shared" si="0"/>
        <v>2436</v>
      </c>
      <c r="G46" s="91"/>
    </row>
    <row r="47" spans="1:7" hidden="1" x14ac:dyDescent="0.25">
      <c r="A47" s="80">
        <v>44271</v>
      </c>
      <c r="B47" s="6">
        <v>15</v>
      </c>
      <c r="C47" s="6">
        <f t="shared" si="3"/>
        <v>21</v>
      </c>
      <c r="D47" s="6">
        <v>9</v>
      </c>
      <c r="E47" s="6">
        <f t="shared" si="2"/>
        <v>2430</v>
      </c>
      <c r="F47" s="6">
        <f t="shared" si="0"/>
        <v>2451</v>
      </c>
      <c r="G47" s="91"/>
    </row>
    <row r="48" spans="1:7" hidden="1" x14ac:dyDescent="0.25">
      <c r="A48" s="80">
        <v>44272</v>
      </c>
      <c r="B48" s="6">
        <v>7</v>
      </c>
      <c r="C48" s="6">
        <f t="shared" si="3"/>
        <v>19</v>
      </c>
      <c r="D48" s="6">
        <v>9</v>
      </c>
      <c r="E48" s="6">
        <f t="shared" si="2"/>
        <v>2439</v>
      </c>
      <c r="F48" s="6">
        <f t="shared" si="0"/>
        <v>2458</v>
      </c>
      <c r="G48" s="91"/>
    </row>
    <row r="49" spans="1:7" hidden="1" x14ac:dyDescent="0.25">
      <c r="A49" s="80">
        <v>44273</v>
      </c>
      <c r="B49" s="6">
        <v>6</v>
      </c>
      <c r="C49" s="6">
        <f t="shared" si="3"/>
        <v>13</v>
      </c>
      <c r="D49" s="6">
        <v>12</v>
      </c>
      <c r="E49" s="6">
        <f t="shared" si="2"/>
        <v>2451</v>
      </c>
      <c r="F49" s="6">
        <f t="shared" si="0"/>
        <v>2464</v>
      </c>
      <c r="G49" s="91"/>
    </row>
    <row r="50" spans="1:7" hidden="1" x14ac:dyDescent="0.25">
      <c r="A50" s="80">
        <v>44274</v>
      </c>
      <c r="B50" s="6">
        <v>8</v>
      </c>
      <c r="C50" s="6">
        <f t="shared" si="3"/>
        <v>17</v>
      </c>
      <c r="D50" s="6">
        <v>4</v>
      </c>
      <c r="E50" s="6">
        <f t="shared" si="2"/>
        <v>2455</v>
      </c>
      <c r="F50" s="6">
        <f t="shared" si="0"/>
        <v>2472</v>
      </c>
      <c r="G50" s="91"/>
    </row>
    <row r="51" spans="1:7" hidden="1" x14ac:dyDescent="0.25">
      <c r="A51" s="80">
        <v>44275</v>
      </c>
      <c r="B51" s="6">
        <v>5</v>
      </c>
      <c r="C51" s="6">
        <f t="shared" si="3"/>
        <v>18</v>
      </c>
      <c r="D51" s="6">
        <v>4</v>
      </c>
      <c r="E51" s="6">
        <f t="shared" si="2"/>
        <v>2459</v>
      </c>
      <c r="F51" s="6">
        <f t="shared" si="0"/>
        <v>2477</v>
      </c>
      <c r="G51" s="91"/>
    </row>
    <row r="52" spans="1:7" hidden="1" x14ac:dyDescent="0.25">
      <c r="A52" s="80">
        <v>44276</v>
      </c>
      <c r="B52" s="6">
        <v>7</v>
      </c>
      <c r="C52" s="6">
        <f t="shared" si="3"/>
        <v>22</v>
      </c>
      <c r="D52" s="6">
        <v>3</v>
      </c>
      <c r="E52" s="6">
        <f t="shared" si="2"/>
        <v>2462</v>
      </c>
      <c r="F52" s="6">
        <f t="shared" si="0"/>
        <v>2484</v>
      </c>
      <c r="G52" s="91"/>
    </row>
    <row r="53" spans="1:7" hidden="1" x14ac:dyDescent="0.25">
      <c r="A53" s="80">
        <v>44277</v>
      </c>
      <c r="B53" s="6">
        <v>10</v>
      </c>
      <c r="C53" s="6">
        <f t="shared" si="3"/>
        <v>20</v>
      </c>
      <c r="D53" s="6">
        <v>12</v>
      </c>
      <c r="E53" s="6">
        <f t="shared" si="2"/>
        <v>2474</v>
      </c>
      <c r="F53" s="6">
        <f t="shared" si="0"/>
        <v>2494</v>
      </c>
      <c r="G53" s="91"/>
    </row>
    <row r="54" spans="1:7" hidden="1" x14ac:dyDescent="0.25">
      <c r="A54" s="80">
        <v>44278</v>
      </c>
      <c r="B54" s="6">
        <v>11</v>
      </c>
      <c r="C54" s="6">
        <f t="shared" si="3"/>
        <v>18</v>
      </c>
      <c r="D54" s="6">
        <v>13</v>
      </c>
      <c r="E54" s="6">
        <f t="shared" si="2"/>
        <v>2487</v>
      </c>
      <c r="F54" s="6">
        <f t="shared" si="0"/>
        <v>2505</v>
      </c>
      <c r="G54" s="91"/>
    </row>
    <row r="55" spans="1:7" hidden="1" x14ac:dyDescent="0.25">
      <c r="A55" s="80">
        <v>44279</v>
      </c>
      <c r="B55" s="6">
        <v>6</v>
      </c>
      <c r="C55" s="6">
        <f t="shared" si="3"/>
        <v>19</v>
      </c>
      <c r="D55" s="6">
        <v>5</v>
      </c>
      <c r="E55" s="6">
        <f t="shared" si="2"/>
        <v>2492</v>
      </c>
      <c r="F55" s="6">
        <f t="shared" si="0"/>
        <v>2511</v>
      </c>
      <c r="G55" s="91"/>
    </row>
    <row r="56" spans="1:7" hidden="1" x14ac:dyDescent="0.25">
      <c r="A56" s="80">
        <v>44280</v>
      </c>
      <c r="B56" s="6">
        <v>13</v>
      </c>
      <c r="C56" s="6">
        <f t="shared" si="3"/>
        <v>26</v>
      </c>
      <c r="D56" s="6">
        <v>6</v>
      </c>
      <c r="E56" s="6">
        <f t="shared" si="2"/>
        <v>2498</v>
      </c>
      <c r="F56" s="6">
        <f t="shared" si="0"/>
        <v>2524</v>
      </c>
      <c r="G56" s="91"/>
    </row>
    <row r="57" spans="1:7" hidden="1" x14ac:dyDescent="0.25">
      <c r="A57" s="80">
        <v>44281</v>
      </c>
      <c r="B57" s="6">
        <v>5</v>
      </c>
      <c r="C57" s="6">
        <f t="shared" si="3"/>
        <v>28</v>
      </c>
      <c r="D57" s="6">
        <v>3</v>
      </c>
      <c r="E57" s="6">
        <f t="shared" si="2"/>
        <v>2501</v>
      </c>
      <c r="F57" s="6">
        <f t="shared" si="0"/>
        <v>2529</v>
      </c>
      <c r="G57" s="91"/>
    </row>
    <row r="58" spans="1:7" hidden="1" x14ac:dyDescent="0.25">
      <c r="A58" s="80">
        <v>44282</v>
      </c>
      <c r="B58" s="6">
        <v>5</v>
      </c>
      <c r="C58" s="6">
        <f t="shared" si="3"/>
        <v>20</v>
      </c>
      <c r="D58" s="6">
        <v>13</v>
      </c>
      <c r="E58" s="6">
        <f t="shared" si="2"/>
        <v>2514</v>
      </c>
      <c r="F58" s="6">
        <f t="shared" si="0"/>
        <v>2534</v>
      </c>
      <c r="G58" s="91"/>
    </row>
    <row r="59" spans="1:7" hidden="1" x14ac:dyDescent="0.25">
      <c r="A59" s="80">
        <v>44283</v>
      </c>
      <c r="B59" s="6">
        <v>3</v>
      </c>
      <c r="C59" s="6">
        <f t="shared" si="3"/>
        <v>22</v>
      </c>
      <c r="D59" s="6">
        <v>1</v>
      </c>
      <c r="E59" s="6">
        <f t="shared" si="2"/>
        <v>2515</v>
      </c>
      <c r="F59" s="6">
        <f t="shared" si="0"/>
        <v>2537</v>
      </c>
      <c r="G59" s="91"/>
    </row>
    <row r="60" spans="1:7" hidden="1" x14ac:dyDescent="0.25">
      <c r="A60" s="80">
        <v>44284</v>
      </c>
      <c r="B60" s="6">
        <v>12</v>
      </c>
      <c r="C60" s="6">
        <f t="shared" si="3"/>
        <v>18</v>
      </c>
      <c r="D60" s="6">
        <v>16</v>
      </c>
      <c r="E60" s="6">
        <f t="shared" si="2"/>
        <v>2531</v>
      </c>
      <c r="F60" s="6">
        <f t="shared" si="0"/>
        <v>2549</v>
      </c>
      <c r="G60" s="91"/>
    </row>
    <row r="61" spans="1:7" hidden="1" x14ac:dyDescent="0.25">
      <c r="A61" s="80">
        <v>44285</v>
      </c>
      <c r="B61" s="6">
        <v>5</v>
      </c>
      <c r="C61" s="6">
        <f t="shared" si="3"/>
        <v>19</v>
      </c>
      <c r="D61" s="6">
        <v>4</v>
      </c>
      <c r="E61" s="6">
        <f t="shared" si="2"/>
        <v>2535</v>
      </c>
      <c r="F61" s="6">
        <f t="shared" si="0"/>
        <v>2554</v>
      </c>
      <c r="G61" s="91"/>
    </row>
    <row r="62" spans="1:7" hidden="1" x14ac:dyDescent="0.25">
      <c r="A62" s="80">
        <v>44286</v>
      </c>
      <c r="B62" s="6">
        <v>10</v>
      </c>
      <c r="C62" s="6">
        <f t="shared" si="3"/>
        <v>21</v>
      </c>
      <c r="D62" s="6">
        <v>8</v>
      </c>
      <c r="E62" s="6">
        <f t="shared" si="2"/>
        <v>2543</v>
      </c>
      <c r="F62" s="6">
        <f t="shared" si="0"/>
        <v>2564</v>
      </c>
      <c r="G62" s="91"/>
    </row>
    <row r="63" spans="1:7" hidden="1" x14ac:dyDescent="0.25">
      <c r="A63" s="80">
        <v>44287</v>
      </c>
      <c r="B63" s="6">
        <v>10</v>
      </c>
      <c r="C63" s="6">
        <f t="shared" si="3"/>
        <v>25</v>
      </c>
      <c r="D63" s="6">
        <v>6</v>
      </c>
      <c r="E63" s="6">
        <f t="shared" si="2"/>
        <v>2549</v>
      </c>
      <c r="F63" s="6">
        <f t="shared" si="0"/>
        <v>2574</v>
      </c>
      <c r="G63" s="91"/>
    </row>
    <row r="64" spans="1:7" hidden="1" x14ac:dyDescent="0.25">
      <c r="A64" s="80">
        <v>44288</v>
      </c>
      <c r="B64" s="6">
        <v>3</v>
      </c>
      <c r="C64" s="6">
        <f t="shared" si="3"/>
        <v>24</v>
      </c>
      <c r="D64" s="6">
        <v>4</v>
      </c>
      <c r="E64" s="6">
        <f t="shared" si="2"/>
        <v>2553</v>
      </c>
      <c r="F64" s="6">
        <f t="shared" si="0"/>
        <v>2577</v>
      </c>
      <c r="G64" s="91"/>
    </row>
    <row r="65" spans="1:7" hidden="1" x14ac:dyDescent="0.25">
      <c r="A65" s="80">
        <v>44289</v>
      </c>
      <c r="B65" s="6">
        <v>7</v>
      </c>
      <c r="C65" s="6">
        <f t="shared" si="3"/>
        <v>25</v>
      </c>
      <c r="D65" s="6">
        <v>6</v>
      </c>
      <c r="E65" s="6">
        <f t="shared" si="2"/>
        <v>2559</v>
      </c>
      <c r="F65" s="6">
        <f t="shared" si="0"/>
        <v>2584</v>
      </c>
      <c r="G65" s="91"/>
    </row>
    <row r="66" spans="1:7" hidden="1" x14ac:dyDescent="0.25">
      <c r="A66" s="80">
        <v>44290</v>
      </c>
      <c r="B66" s="6">
        <v>5</v>
      </c>
      <c r="C66" s="6">
        <f t="shared" si="3"/>
        <v>28</v>
      </c>
      <c r="D66" s="6">
        <v>2</v>
      </c>
      <c r="E66" s="6">
        <f t="shared" si="2"/>
        <v>2561</v>
      </c>
      <c r="F66" s="6">
        <f t="shared" si="0"/>
        <v>2589</v>
      </c>
      <c r="G66" s="91"/>
    </row>
    <row r="67" spans="1:7" hidden="1" x14ac:dyDescent="0.25">
      <c r="A67" s="80">
        <v>44291</v>
      </c>
      <c r="B67" s="6">
        <v>11</v>
      </c>
      <c r="C67" s="6">
        <f t="shared" si="3"/>
        <v>29</v>
      </c>
      <c r="D67" s="6">
        <v>10</v>
      </c>
      <c r="E67" s="6">
        <f t="shared" si="2"/>
        <v>2571</v>
      </c>
      <c r="F67" s="6">
        <f t="shared" si="0"/>
        <v>2600</v>
      </c>
      <c r="G67" s="91"/>
    </row>
    <row r="68" spans="1:7" hidden="1" x14ac:dyDescent="0.25">
      <c r="A68" s="80">
        <v>44292</v>
      </c>
      <c r="B68" s="6">
        <v>8</v>
      </c>
      <c r="C68" s="6">
        <f t="shared" si="3"/>
        <v>26</v>
      </c>
      <c r="D68" s="6">
        <v>11</v>
      </c>
      <c r="E68" s="6">
        <f t="shared" si="2"/>
        <v>2582</v>
      </c>
      <c r="F68" s="6">
        <f t="shared" si="0"/>
        <v>2608</v>
      </c>
      <c r="G68" s="91"/>
    </row>
    <row r="69" spans="1:7" hidden="1" x14ac:dyDescent="0.25">
      <c r="A69" s="80">
        <v>44293</v>
      </c>
      <c r="B69" s="6">
        <v>8</v>
      </c>
      <c r="C69" s="6">
        <f t="shared" si="3"/>
        <v>24</v>
      </c>
      <c r="D69" s="6">
        <v>10</v>
      </c>
      <c r="E69" s="6">
        <f t="shared" si="2"/>
        <v>2592</v>
      </c>
      <c r="F69" s="6">
        <f t="shared" si="0"/>
        <v>2616</v>
      </c>
      <c r="G69" s="91"/>
    </row>
    <row r="70" spans="1:7" hidden="1" x14ac:dyDescent="0.25">
      <c r="A70" s="80">
        <v>44294</v>
      </c>
      <c r="B70" s="6">
        <v>6</v>
      </c>
      <c r="C70" s="6">
        <f t="shared" si="3"/>
        <v>21</v>
      </c>
      <c r="D70" s="6">
        <v>9</v>
      </c>
      <c r="E70" s="6">
        <f t="shared" si="2"/>
        <v>2601</v>
      </c>
      <c r="F70" s="6">
        <f t="shared" si="0"/>
        <v>2622</v>
      </c>
      <c r="G70" s="91"/>
    </row>
    <row r="71" spans="1:7" hidden="1" x14ac:dyDescent="0.25">
      <c r="A71" s="80">
        <v>44295</v>
      </c>
      <c r="B71" s="6">
        <v>3</v>
      </c>
      <c r="C71" s="6">
        <f t="shared" si="3"/>
        <v>17</v>
      </c>
      <c r="D71" s="6">
        <v>7</v>
      </c>
      <c r="E71" s="6">
        <f t="shared" si="2"/>
        <v>2608</v>
      </c>
      <c r="F71" s="6">
        <f t="shared" si="0"/>
        <v>2625</v>
      </c>
      <c r="G71" s="91"/>
    </row>
    <row r="72" spans="1:7" hidden="1" x14ac:dyDescent="0.25">
      <c r="A72" s="80">
        <v>44296</v>
      </c>
      <c r="B72" s="6">
        <v>6</v>
      </c>
      <c r="C72" s="6">
        <f t="shared" si="3"/>
        <v>13</v>
      </c>
      <c r="D72" s="6">
        <v>10</v>
      </c>
      <c r="E72" s="6">
        <f t="shared" si="2"/>
        <v>2618</v>
      </c>
      <c r="F72" s="6">
        <f t="shared" si="0"/>
        <v>2631</v>
      </c>
      <c r="G72" s="91"/>
    </row>
    <row r="73" spans="1:7" hidden="1" x14ac:dyDescent="0.25">
      <c r="A73" s="80">
        <v>44297</v>
      </c>
      <c r="B73" s="6">
        <v>1</v>
      </c>
      <c r="C73" s="6">
        <f t="shared" si="3"/>
        <v>13</v>
      </c>
      <c r="D73" s="6">
        <v>1</v>
      </c>
      <c r="E73" s="6">
        <f t="shared" si="2"/>
        <v>2619</v>
      </c>
      <c r="F73" s="6">
        <f t="shared" si="0"/>
        <v>2632</v>
      </c>
      <c r="G73" s="91"/>
    </row>
    <row r="74" spans="1:7" hidden="1" x14ac:dyDescent="0.25">
      <c r="A74" s="80">
        <v>44298</v>
      </c>
      <c r="B74" s="6">
        <v>7</v>
      </c>
      <c r="C74" s="6">
        <f t="shared" si="3"/>
        <v>15</v>
      </c>
      <c r="D74" s="6">
        <v>5</v>
      </c>
      <c r="E74" s="6">
        <f t="shared" si="2"/>
        <v>2624</v>
      </c>
      <c r="F74" s="6">
        <f t="shared" ref="F74:F137" si="4">E74+C74</f>
        <v>2639</v>
      </c>
      <c r="G74" s="91"/>
    </row>
    <row r="75" spans="1:7" hidden="1" x14ac:dyDescent="0.25">
      <c r="A75" s="80">
        <v>44299</v>
      </c>
      <c r="B75" s="6">
        <v>6</v>
      </c>
      <c r="C75" s="6">
        <f t="shared" si="3"/>
        <v>14</v>
      </c>
      <c r="D75" s="6">
        <v>7</v>
      </c>
      <c r="E75" s="6">
        <f t="shared" ref="E75:E138" si="5">E74+D75</f>
        <v>2631</v>
      </c>
      <c r="F75" s="6">
        <f t="shared" si="4"/>
        <v>2645</v>
      </c>
      <c r="G75" s="91"/>
    </row>
    <row r="76" spans="1:7" hidden="1" x14ac:dyDescent="0.25">
      <c r="A76" s="80">
        <v>44300</v>
      </c>
      <c r="B76" s="6">
        <v>6</v>
      </c>
      <c r="C76" s="6">
        <f t="shared" si="3"/>
        <v>14</v>
      </c>
      <c r="D76" s="6">
        <v>6</v>
      </c>
      <c r="E76" s="6">
        <f t="shared" si="5"/>
        <v>2637</v>
      </c>
      <c r="F76" s="6">
        <f t="shared" si="4"/>
        <v>2651</v>
      </c>
      <c r="G76" s="91"/>
    </row>
    <row r="77" spans="1:7" hidden="1" x14ac:dyDescent="0.25">
      <c r="A77" s="80">
        <v>44301</v>
      </c>
      <c r="B77" s="6">
        <v>8</v>
      </c>
      <c r="C77" s="6">
        <f t="shared" si="3"/>
        <v>15</v>
      </c>
      <c r="D77" s="6">
        <v>7</v>
      </c>
      <c r="E77" s="6">
        <f t="shared" si="5"/>
        <v>2644</v>
      </c>
      <c r="F77" s="6">
        <f t="shared" si="4"/>
        <v>2659</v>
      </c>
      <c r="G77" s="91"/>
    </row>
    <row r="78" spans="1:7" hidden="1" x14ac:dyDescent="0.25">
      <c r="A78" s="80">
        <v>44302</v>
      </c>
      <c r="B78" s="6">
        <v>4</v>
      </c>
      <c r="C78" s="6">
        <f t="shared" si="3"/>
        <v>10</v>
      </c>
      <c r="D78" s="6">
        <v>9</v>
      </c>
      <c r="E78" s="6">
        <f t="shared" si="5"/>
        <v>2653</v>
      </c>
      <c r="F78" s="6">
        <f t="shared" si="4"/>
        <v>2663</v>
      </c>
      <c r="G78" s="91"/>
    </row>
    <row r="79" spans="1:7" hidden="1" x14ac:dyDescent="0.25">
      <c r="A79" s="80">
        <v>44303</v>
      </c>
      <c r="B79" s="6">
        <v>4</v>
      </c>
      <c r="C79" s="6">
        <f t="shared" si="3"/>
        <v>7</v>
      </c>
      <c r="D79" s="6">
        <v>7</v>
      </c>
      <c r="E79" s="6">
        <f t="shared" si="5"/>
        <v>2660</v>
      </c>
      <c r="F79" s="6">
        <f t="shared" si="4"/>
        <v>2667</v>
      </c>
      <c r="G79" s="91"/>
    </row>
    <row r="80" spans="1:7" hidden="1" x14ac:dyDescent="0.25">
      <c r="A80" s="80">
        <v>44304</v>
      </c>
      <c r="B80" s="6">
        <v>2</v>
      </c>
      <c r="C80" s="6">
        <f t="shared" si="3"/>
        <v>7</v>
      </c>
      <c r="D80" s="6">
        <v>2</v>
      </c>
      <c r="E80" s="6">
        <f t="shared" si="5"/>
        <v>2662</v>
      </c>
      <c r="F80" s="6">
        <f t="shared" si="4"/>
        <v>2669</v>
      </c>
      <c r="G80" s="91"/>
    </row>
    <row r="81" spans="1:7" hidden="1" x14ac:dyDescent="0.25">
      <c r="A81" s="80">
        <v>44305</v>
      </c>
      <c r="B81" s="6">
        <v>10</v>
      </c>
      <c r="C81" s="6">
        <f t="shared" si="3"/>
        <v>16</v>
      </c>
      <c r="D81" s="6">
        <v>1</v>
      </c>
      <c r="E81" s="6">
        <f t="shared" si="5"/>
        <v>2663</v>
      </c>
      <c r="F81" s="6">
        <f t="shared" si="4"/>
        <v>2679</v>
      </c>
      <c r="G81" s="91"/>
    </row>
    <row r="82" spans="1:7" hidden="1" x14ac:dyDescent="0.25">
      <c r="A82" s="80">
        <v>44306</v>
      </c>
      <c r="B82" s="6">
        <v>8</v>
      </c>
      <c r="C82" s="6">
        <f t="shared" si="3"/>
        <v>15</v>
      </c>
      <c r="D82" s="6">
        <v>9</v>
      </c>
      <c r="E82" s="6">
        <f t="shared" si="5"/>
        <v>2672</v>
      </c>
      <c r="F82" s="6">
        <f t="shared" si="4"/>
        <v>2687</v>
      </c>
      <c r="G82" s="91"/>
    </row>
    <row r="83" spans="1:7" hidden="1" x14ac:dyDescent="0.25">
      <c r="A83" s="80">
        <v>44307</v>
      </c>
      <c r="B83" s="6">
        <v>7</v>
      </c>
      <c r="C83" s="6">
        <f t="shared" si="3"/>
        <v>18</v>
      </c>
      <c r="D83" s="6">
        <v>4</v>
      </c>
      <c r="E83" s="6">
        <f t="shared" si="5"/>
        <v>2676</v>
      </c>
      <c r="F83" s="6">
        <f t="shared" si="4"/>
        <v>2694</v>
      </c>
      <c r="G83" s="91"/>
    </row>
    <row r="84" spans="1:7" hidden="1" x14ac:dyDescent="0.25">
      <c r="A84" s="80">
        <v>44308</v>
      </c>
      <c r="B84" s="6">
        <v>5</v>
      </c>
      <c r="C84" s="6">
        <f t="shared" ref="C84:C147" si="6">C83-D84+B84</f>
        <v>17</v>
      </c>
      <c r="D84" s="6">
        <v>6</v>
      </c>
      <c r="E84" s="6">
        <f t="shared" si="5"/>
        <v>2682</v>
      </c>
      <c r="F84" s="6">
        <f t="shared" si="4"/>
        <v>2699</v>
      </c>
      <c r="G84" s="91"/>
    </row>
    <row r="85" spans="1:7" hidden="1" x14ac:dyDescent="0.25">
      <c r="A85" s="80">
        <v>44309</v>
      </c>
      <c r="B85" s="6">
        <v>8</v>
      </c>
      <c r="C85" s="6">
        <f t="shared" si="6"/>
        <v>17</v>
      </c>
      <c r="D85" s="6">
        <v>8</v>
      </c>
      <c r="E85" s="6">
        <f t="shared" si="5"/>
        <v>2690</v>
      </c>
      <c r="F85" s="6">
        <f t="shared" si="4"/>
        <v>2707</v>
      </c>
      <c r="G85" s="91"/>
    </row>
    <row r="86" spans="1:7" hidden="1" x14ac:dyDescent="0.25">
      <c r="A86" s="80">
        <v>44310</v>
      </c>
      <c r="B86" s="6">
        <v>5</v>
      </c>
      <c r="C86" s="6">
        <f t="shared" si="6"/>
        <v>15</v>
      </c>
      <c r="D86" s="6">
        <v>7</v>
      </c>
      <c r="E86" s="6">
        <f t="shared" si="5"/>
        <v>2697</v>
      </c>
      <c r="F86" s="6">
        <f t="shared" si="4"/>
        <v>2712</v>
      </c>
      <c r="G86" s="91"/>
    </row>
    <row r="87" spans="1:7" hidden="1" x14ac:dyDescent="0.25">
      <c r="A87" s="80">
        <v>44311</v>
      </c>
      <c r="B87" s="6">
        <v>0</v>
      </c>
      <c r="C87" s="6">
        <f t="shared" si="6"/>
        <v>12</v>
      </c>
      <c r="D87" s="6">
        <v>3</v>
      </c>
      <c r="E87" s="6">
        <f t="shared" si="5"/>
        <v>2700</v>
      </c>
      <c r="F87" s="6">
        <f t="shared" si="4"/>
        <v>2712</v>
      </c>
      <c r="G87" s="91"/>
    </row>
    <row r="88" spans="1:7" hidden="1" x14ac:dyDescent="0.25">
      <c r="A88" s="80">
        <v>44312</v>
      </c>
      <c r="B88" s="6">
        <v>6</v>
      </c>
      <c r="C88" s="6">
        <f t="shared" si="6"/>
        <v>12</v>
      </c>
      <c r="D88" s="6">
        <v>6</v>
      </c>
      <c r="E88" s="6">
        <f t="shared" si="5"/>
        <v>2706</v>
      </c>
      <c r="F88" s="6">
        <f t="shared" si="4"/>
        <v>2718</v>
      </c>
      <c r="G88" s="91"/>
    </row>
    <row r="89" spans="1:7" hidden="1" x14ac:dyDescent="0.25">
      <c r="A89" s="80">
        <v>44313</v>
      </c>
      <c r="B89" s="6">
        <v>5</v>
      </c>
      <c r="C89" s="6">
        <f t="shared" si="6"/>
        <v>15</v>
      </c>
      <c r="D89" s="6">
        <v>2</v>
      </c>
      <c r="E89" s="6">
        <f t="shared" si="5"/>
        <v>2708</v>
      </c>
      <c r="F89" s="6">
        <f t="shared" si="4"/>
        <v>2723</v>
      </c>
      <c r="G89" s="91"/>
    </row>
    <row r="90" spans="1:7" hidden="1" x14ac:dyDescent="0.25">
      <c r="A90" s="80">
        <v>44314</v>
      </c>
      <c r="B90" s="6">
        <v>0</v>
      </c>
      <c r="C90" s="6">
        <f t="shared" si="6"/>
        <v>15</v>
      </c>
      <c r="D90" s="6">
        <v>0</v>
      </c>
      <c r="E90" s="6">
        <f t="shared" si="5"/>
        <v>2708</v>
      </c>
      <c r="F90" s="6">
        <f t="shared" si="4"/>
        <v>2723</v>
      </c>
      <c r="G90" s="91"/>
    </row>
    <row r="91" spans="1:7" hidden="1" x14ac:dyDescent="0.25">
      <c r="A91" s="80">
        <v>44315</v>
      </c>
      <c r="B91" s="6">
        <v>8</v>
      </c>
      <c r="C91" s="6">
        <f t="shared" si="6"/>
        <v>13</v>
      </c>
      <c r="D91" s="6">
        <v>10</v>
      </c>
      <c r="E91" s="6">
        <f t="shared" si="5"/>
        <v>2718</v>
      </c>
      <c r="F91" s="6">
        <f t="shared" si="4"/>
        <v>2731</v>
      </c>
      <c r="G91" s="91"/>
    </row>
    <row r="92" spans="1:7" hidden="1" x14ac:dyDescent="0.25">
      <c r="A92" s="80">
        <v>44316</v>
      </c>
      <c r="B92" s="6">
        <v>9</v>
      </c>
      <c r="C92" s="6">
        <f t="shared" si="6"/>
        <v>20</v>
      </c>
      <c r="D92" s="6">
        <v>2</v>
      </c>
      <c r="E92" s="6">
        <f t="shared" si="5"/>
        <v>2720</v>
      </c>
      <c r="F92" s="6">
        <f t="shared" si="4"/>
        <v>2740</v>
      </c>
      <c r="G92" s="91"/>
    </row>
    <row r="93" spans="1:7" hidden="1" x14ac:dyDescent="0.25">
      <c r="A93" s="80">
        <v>44317</v>
      </c>
      <c r="B93" s="6">
        <v>1</v>
      </c>
      <c r="C93" s="6">
        <f t="shared" si="6"/>
        <v>16</v>
      </c>
      <c r="D93" s="6">
        <v>5</v>
      </c>
      <c r="E93" s="6">
        <f t="shared" si="5"/>
        <v>2725</v>
      </c>
      <c r="F93" s="6">
        <f t="shared" si="4"/>
        <v>2741</v>
      </c>
      <c r="G93" s="91"/>
    </row>
    <row r="94" spans="1:7" hidden="1" x14ac:dyDescent="0.25">
      <c r="A94" s="80">
        <v>44318</v>
      </c>
      <c r="B94" s="6">
        <v>3</v>
      </c>
      <c r="C94" s="6">
        <f t="shared" si="6"/>
        <v>18</v>
      </c>
      <c r="D94" s="6">
        <v>1</v>
      </c>
      <c r="E94" s="6">
        <f t="shared" si="5"/>
        <v>2726</v>
      </c>
      <c r="F94" s="6">
        <f t="shared" si="4"/>
        <v>2744</v>
      </c>
      <c r="G94" s="91"/>
    </row>
    <row r="95" spans="1:7" hidden="1" x14ac:dyDescent="0.25">
      <c r="A95" s="80">
        <v>44319</v>
      </c>
      <c r="B95" s="6">
        <v>17</v>
      </c>
      <c r="C95" s="6">
        <f t="shared" si="6"/>
        <v>30</v>
      </c>
      <c r="D95" s="6">
        <v>5</v>
      </c>
      <c r="E95" s="6">
        <f t="shared" si="5"/>
        <v>2731</v>
      </c>
      <c r="F95" s="6">
        <f t="shared" si="4"/>
        <v>2761</v>
      </c>
      <c r="G95" s="91"/>
    </row>
    <row r="96" spans="1:7" hidden="1" x14ac:dyDescent="0.25">
      <c r="A96" s="80">
        <v>44320</v>
      </c>
      <c r="B96" s="6">
        <v>9</v>
      </c>
      <c r="C96" s="6">
        <f t="shared" si="6"/>
        <v>32</v>
      </c>
      <c r="D96" s="6">
        <v>7</v>
      </c>
      <c r="E96" s="6">
        <f t="shared" si="5"/>
        <v>2738</v>
      </c>
      <c r="F96" s="6">
        <f t="shared" si="4"/>
        <v>2770</v>
      </c>
      <c r="G96" s="91"/>
    </row>
    <row r="97" spans="1:7" hidden="1" x14ac:dyDescent="0.25">
      <c r="A97" s="80">
        <v>44321</v>
      </c>
      <c r="B97" s="6">
        <v>3</v>
      </c>
      <c r="C97" s="6">
        <f t="shared" si="6"/>
        <v>29</v>
      </c>
      <c r="D97" s="6">
        <v>6</v>
      </c>
      <c r="E97" s="6">
        <f t="shared" si="5"/>
        <v>2744</v>
      </c>
      <c r="F97" s="6">
        <f t="shared" si="4"/>
        <v>2773</v>
      </c>
      <c r="G97" s="91"/>
    </row>
    <row r="98" spans="1:7" hidden="1" x14ac:dyDescent="0.25">
      <c r="A98" s="80">
        <v>44322</v>
      </c>
      <c r="B98" s="6">
        <v>6</v>
      </c>
      <c r="C98" s="6">
        <f t="shared" si="6"/>
        <v>27</v>
      </c>
      <c r="D98" s="6">
        <v>8</v>
      </c>
      <c r="E98" s="6">
        <f t="shared" si="5"/>
        <v>2752</v>
      </c>
      <c r="F98" s="6">
        <f t="shared" si="4"/>
        <v>2779</v>
      </c>
      <c r="G98" s="91"/>
    </row>
    <row r="99" spans="1:7" hidden="1" x14ac:dyDescent="0.25">
      <c r="A99" s="80">
        <v>44323</v>
      </c>
      <c r="B99" s="6">
        <v>6</v>
      </c>
      <c r="C99" s="6">
        <f t="shared" si="6"/>
        <v>30</v>
      </c>
      <c r="D99" s="6">
        <v>3</v>
      </c>
      <c r="E99" s="6">
        <f t="shared" si="5"/>
        <v>2755</v>
      </c>
      <c r="F99" s="6">
        <f t="shared" si="4"/>
        <v>2785</v>
      </c>
      <c r="G99" s="91"/>
    </row>
    <row r="100" spans="1:7" hidden="1" x14ac:dyDescent="0.25">
      <c r="A100" s="80">
        <v>44324</v>
      </c>
      <c r="B100" s="6">
        <v>14</v>
      </c>
      <c r="C100" s="6">
        <f t="shared" si="6"/>
        <v>40</v>
      </c>
      <c r="D100" s="6">
        <v>4</v>
      </c>
      <c r="E100" s="6">
        <f t="shared" si="5"/>
        <v>2759</v>
      </c>
      <c r="F100" s="6">
        <f t="shared" si="4"/>
        <v>2799</v>
      </c>
      <c r="G100" s="91"/>
    </row>
    <row r="101" spans="1:7" hidden="1" x14ac:dyDescent="0.25">
      <c r="A101" s="80">
        <v>44325</v>
      </c>
      <c r="B101" s="6">
        <v>3</v>
      </c>
      <c r="C101" s="6">
        <f t="shared" si="6"/>
        <v>38</v>
      </c>
      <c r="D101" s="6">
        <v>5</v>
      </c>
      <c r="E101" s="6">
        <f t="shared" si="5"/>
        <v>2764</v>
      </c>
      <c r="F101" s="6">
        <f t="shared" si="4"/>
        <v>2802</v>
      </c>
      <c r="G101" s="91"/>
    </row>
    <row r="102" spans="1:7" hidden="1" x14ac:dyDescent="0.25">
      <c r="A102" s="80">
        <v>44326</v>
      </c>
      <c r="B102" s="6">
        <v>10</v>
      </c>
      <c r="C102" s="6">
        <f t="shared" si="6"/>
        <v>35</v>
      </c>
      <c r="D102" s="6">
        <v>13</v>
      </c>
      <c r="E102" s="6">
        <f t="shared" si="5"/>
        <v>2777</v>
      </c>
      <c r="F102" s="6">
        <f t="shared" si="4"/>
        <v>2812</v>
      </c>
      <c r="G102" s="91"/>
    </row>
    <row r="103" spans="1:7" hidden="1" x14ac:dyDescent="0.25">
      <c r="A103" s="80">
        <v>44327</v>
      </c>
      <c r="B103" s="6">
        <v>10</v>
      </c>
      <c r="C103" s="6">
        <f t="shared" si="6"/>
        <v>38</v>
      </c>
      <c r="D103" s="6">
        <v>7</v>
      </c>
      <c r="E103" s="6">
        <f t="shared" si="5"/>
        <v>2784</v>
      </c>
      <c r="F103" s="6">
        <f t="shared" si="4"/>
        <v>2822</v>
      </c>
      <c r="G103" s="91"/>
    </row>
    <row r="104" spans="1:7" hidden="1" x14ac:dyDescent="0.25">
      <c r="A104" s="80">
        <v>44328</v>
      </c>
      <c r="B104" s="6">
        <v>6</v>
      </c>
      <c r="C104" s="6">
        <f t="shared" si="6"/>
        <v>38</v>
      </c>
      <c r="D104" s="6">
        <v>6</v>
      </c>
      <c r="E104" s="6">
        <f t="shared" si="5"/>
        <v>2790</v>
      </c>
      <c r="F104" s="6">
        <f t="shared" si="4"/>
        <v>2828</v>
      </c>
      <c r="G104" s="91"/>
    </row>
    <row r="105" spans="1:7" ht="13.5" hidden="1" customHeight="1" x14ac:dyDescent="0.25">
      <c r="A105" s="80">
        <v>44329</v>
      </c>
      <c r="B105" s="6">
        <v>0</v>
      </c>
      <c r="C105" s="6">
        <f t="shared" si="6"/>
        <v>38</v>
      </c>
      <c r="D105" s="6">
        <v>0</v>
      </c>
      <c r="E105" s="6">
        <f t="shared" si="5"/>
        <v>2790</v>
      </c>
      <c r="F105" s="6">
        <f t="shared" si="4"/>
        <v>2828</v>
      </c>
      <c r="G105" s="91"/>
    </row>
    <row r="106" spans="1:7" hidden="1" x14ac:dyDescent="0.25">
      <c r="A106" s="80">
        <v>44330</v>
      </c>
      <c r="B106" s="6">
        <v>4</v>
      </c>
      <c r="C106" s="6">
        <f t="shared" si="6"/>
        <v>40</v>
      </c>
      <c r="D106" s="6">
        <v>2</v>
      </c>
      <c r="E106" s="6">
        <f t="shared" si="5"/>
        <v>2792</v>
      </c>
      <c r="F106" s="6">
        <f t="shared" si="4"/>
        <v>2832</v>
      </c>
      <c r="G106" s="91"/>
    </row>
    <row r="107" spans="1:7" hidden="1" x14ac:dyDescent="0.25">
      <c r="A107" s="80">
        <v>44331</v>
      </c>
      <c r="B107" s="6">
        <v>9</v>
      </c>
      <c r="C107" s="6">
        <f t="shared" si="6"/>
        <v>43</v>
      </c>
      <c r="D107" s="6">
        <v>6</v>
      </c>
      <c r="E107" s="6">
        <f t="shared" si="5"/>
        <v>2798</v>
      </c>
      <c r="F107" s="6">
        <f t="shared" si="4"/>
        <v>2841</v>
      </c>
      <c r="G107" s="91"/>
    </row>
    <row r="108" spans="1:7" hidden="1" x14ac:dyDescent="0.25">
      <c r="A108" s="80">
        <v>44332</v>
      </c>
      <c r="B108" s="6">
        <v>4</v>
      </c>
      <c r="C108" s="6">
        <f t="shared" si="6"/>
        <v>43</v>
      </c>
      <c r="D108" s="6">
        <v>4</v>
      </c>
      <c r="E108" s="6">
        <f t="shared" si="5"/>
        <v>2802</v>
      </c>
      <c r="F108" s="6">
        <f t="shared" si="4"/>
        <v>2845</v>
      </c>
      <c r="G108" s="91"/>
    </row>
    <row r="109" spans="1:7" hidden="1" x14ac:dyDescent="0.25">
      <c r="A109" s="80">
        <v>44333</v>
      </c>
      <c r="B109" s="6">
        <v>11</v>
      </c>
      <c r="C109" s="6">
        <f t="shared" si="6"/>
        <v>43</v>
      </c>
      <c r="D109" s="6">
        <v>11</v>
      </c>
      <c r="E109" s="6">
        <f t="shared" si="5"/>
        <v>2813</v>
      </c>
      <c r="F109" s="6">
        <f t="shared" si="4"/>
        <v>2856</v>
      </c>
      <c r="G109" s="91"/>
    </row>
    <row r="110" spans="1:7" hidden="1" x14ac:dyDescent="0.25">
      <c r="A110" s="80">
        <v>44334</v>
      </c>
      <c r="B110" s="6">
        <v>9</v>
      </c>
      <c r="C110" s="6">
        <f t="shared" si="6"/>
        <v>42</v>
      </c>
      <c r="D110" s="6">
        <v>10</v>
      </c>
      <c r="E110" s="6">
        <f t="shared" si="5"/>
        <v>2823</v>
      </c>
      <c r="F110" s="6">
        <f t="shared" si="4"/>
        <v>2865</v>
      </c>
      <c r="G110" s="91"/>
    </row>
    <row r="111" spans="1:7" hidden="1" x14ac:dyDescent="0.25">
      <c r="A111" s="80">
        <v>44335</v>
      </c>
      <c r="B111" s="6">
        <v>4</v>
      </c>
      <c r="C111" s="6">
        <f t="shared" si="6"/>
        <v>32</v>
      </c>
      <c r="D111" s="6">
        <v>14</v>
      </c>
      <c r="E111" s="6">
        <f t="shared" si="5"/>
        <v>2837</v>
      </c>
      <c r="F111" s="6">
        <f t="shared" si="4"/>
        <v>2869</v>
      </c>
      <c r="G111" s="91"/>
    </row>
    <row r="112" spans="1:7" hidden="1" x14ac:dyDescent="0.25">
      <c r="A112" s="80">
        <v>44336</v>
      </c>
      <c r="B112" s="6">
        <v>15</v>
      </c>
      <c r="C112" s="6">
        <f t="shared" si="6"/>
        <v>36</v>
      </c>
      <c r="D112" s="6">
        <v>11</v>
      </c>
      <c r="E112" s="6">
        <f t="shared" si="5"/>
        <v>2848</v>
      </c>
      <c r="F112" s="6">
        <f t="shared" si="4"/>
        <v>2884</v>
      </c>
      <c r="G112" s="91"/>
    </row>
    <row r="113" spans="1:7" hidden="1" x14ac:dyDescent="0.25">
      <c r="A113" s="80">
        <v>44337</v>
      </c>
      <c r="B113" s="6">
        <v>4</v>
      </c>
      <c r="C113" s="6">
        <f t="shared" si="6"/>
        <v>38</v>
      </c>
      <c r="D113" s="6">
        <v>2</v>
      </c>
      <c r="E113" s="6">
        <f t="shared" si="5"/>
        <v>2850</v>
      </c>
      <c r="F113" s="6">
        <f t="shared" si="4"/>
        <v>2888</v>
      </c>
      <c r="G113" s="91"/>
    </row>
    <row r="114" spans="1:7" hidden="1" x14ac:dyDescent="0.25">
      <c r="A114" s="80">
        <v>44338</v>
      </c>
      <c r="B114" s="6">
        <v>11</v>
      </c>
      <c r="C114" s="6">
        <f t="shared" si="6"/>
        <v>45</v>
      </c>
      <c r="D114" s="6">
        <v>4</v>
      </c>
      <c r="E114" s="6">
        <f t="shared" si="5"/>
        <v>2854</v>
      </c>
      <c r="F114" s="6">
        <f t="shared" si="4"/>
        <v>2899</v>
      </c>
      <c r="G114" s="91"/>
    </row>
    <row r="115" spans="1:7" hidden="1" x14ac:dyDescent="0.25">
      <c r="A115" s="80">
        <v>44339</v>
      </c>
      <c r="B115" s="6">
        <v>4</v>
      </c>
      <c r="C115" s="6">
        <f t="shared" si="6"/>
        <v>45</v>
      </c>
      <c r="D115" s="6">
        <v>4</v>
      </c>
      <c r="E115" s="6">
        <f t="shared" si="5"/>
        <v>2858</v>
      </c>
      <c r="F115" s="6">
        <f t="shared" si="4"/>
        <v>2903</v>
      </c>
      <c r="G115" s="91"/>
    </row>
    <row r="116" spans="1:7" hidden="1" x14ac:dyDescent="0.25">
      <c r="A116" s="80">
        <v>44340</v>
      </c>
      <c r="B116" s="6">
        <v>23</v>
      </c>
      <c r="C116" s="6">
        <f t="shared" si="6"/>
        <v>56</v>
      </c>
      <c r="D116" s="6">
        <v>12</v>
      </c>
      <c r="E116" s="6">
        <f t="shared" si="5"/>
        <v>2870</v>
      </c>
      <c r="F116" s="6">
        <f t="shared" si="4"/>
        <v>2926</v>
      </c>
      <c r="G116" s="91"/>
    </row>
    <row r="117" spans="1:7" hidden="1" x14ac:dyDescent="0.25">
      <c r="A117" s="80">
        <v>44341</v>
      </c>
      <c r="B117" s="6">
        <v>19</v>
      </c>
      <c r="C117" s="6">
        <f t="shared" si="6"/>
        <v>69</v>
      </c>
      <c r="D117" s="6">
        <v>6</v>
      </c>
      <c r="E117" s="6">
        <f t="shared" si="5"/>
        <v>2876</v>
      </c>
      <c r="F117" s="6">
        <f t="shared" si="4"/>
        <v>2945</v>
      </c>
      <c r="G117" s="91"/>
    </row>
    <row r="118" spans="1:7" hidden="1" x14ac:dyDescent="0.25">
      <c r="A118" s="80">
        <v>44342</v>
      </c>
      <c r="B118" s="6">
        <v>3</v>
      </c>
      <c r="C118" s="6">
        <f t="shared" si="6"/>
        <v>70</v>
      </c>
      <c r="D118" s="6">
        <v>2</v>
      </c>
      <c r="E118" s="6">
        <f t="shared" si="5"/>
        <v>2878</v>
      </c>
      <c r="F118" s="6">
        <f t="shared" si="4"/>
        <v>2948</v>
      </c>
      <c r="G118" s="91"/>
    </row>
    <row r="119" spans="1:7" hidden="1" x14ac:dyDescent="0.25">
      <c r="A119" s="80">
        <v>44343</v>
      </c>
      <c r="B119" s="6">
        <v>25</v>
      </c>
      <c r="C119" s="6">
        <f t="shared" si="6"/>
        <v>79</v>
      </c>
      <c r="D119" s="6">
        <v>16</v>
      </c>
      <c r="E119" s="6">
        <f t="shared" si="5"/>
        <v>2894</v>
      </c>
      <c r="F119" s="6">
        <f t="shared" si="4"/>
        <v>2973</v>
      </c>
      <c r="G119" s="91"/>
    </row>
    <row r="120" spans="1:7" hidden="1" x14ac:dyDescent="0.25">
      <c r="A120" s="80">
        <v>44344</v>
      </c>
      <c r="B120" s="6">
        <v>29</v>
      </c>
      <c r="C120" s="6">
        <f t="shared" si="6"/>
        <v>80</v>
      </c>
      <c r="D120" s="6">
        <v>28</v>
      </c>
      <c r="E120" s="6">
        <f t="shared" si="5"/>
        <v>2922</v>
      </c>
      <c r="F120" s="6">
        <f t="shared" si="4"/>
        <v>3002</v>
      </c>
      <c r="G120" s="91"/>
    </row>
    <row r="121" spans="1:7" hidden="1" x14ac:dyDescent="0.25">
      <c r="A121" s="80">
        <v>44345</v>
      </c>
      <c r="B121" s="6">
        <v>20</v>
      </c>
      <c r="C121" s="6">
        <f t="shared" si="6"/>
        <v>83</v>
      </c>
      <c r="D121" s="6">
        <v>17</v>
      </c>
      <c r="E121" s="6">
        <f t="shared" si="5"/>
        <v>2939</v>
      </c>
      <c r="F121" s="6">
        <f t="shared" si="4"/>
        <v>3022</v>
      </c>
      <c r="G121" s="91"/>
    </row>
    <row r="122" spans="1:7" hidden="1" x14ac:dyDescent="0.25">
      <c r="A122" s="80">
        <v>44346</v>
      </c>
      <c r="B122" s="6">
        <v>8</v>
      </c>
      <c r="C122" s="6">
        <f t="shared" si="6"/>
        <v>84</v>
      </c>
      <c r="D122" s="6">
        <v>7</v>
      </c>
      <c r="E122" s="6">
        <f t="shared" si="5"/>
        <v>2946</v>
      </c>
      <c r="F122" s="6">
        <f t="shared" si="4"/>
        <v>3030</v>
      </c>
      <c r="G122" s="91"/>
    </row>
    <row r="123" spans="1:7" hidden="1" x14ac:dyDescent="0.25">
      <c r="A123" s="80">
        <v>44347</v>
      </c>
      <c r="B123" s="6">
        <v>38</v>
      </c>
      <c r="C123" s="6">
        <f t="shared" si="6"/>
        <v>99</v>
      </c>
      <c r="D123" s="6">
        <v>23</v>
      </c>
      <c r="E123" s="6">
        <f t="shared" si="5"/>
        <v>2969</v>
      </c>
      <c r="F123" s="6">
        <f t="shared" si="4"/>
        <v>3068</v>
      </c>
      <c r="G123" s="91"/>
    </row>
    <row r="124" spans="1:7" hidden="1" x14ac:dyDescent="0.25">
      <c r="A124" s="80">
        <v>44348</v>
      </c>
      <c r="B124" s="6">
        <v>16</v>
      </c>
      <c r="C124" s="6">
        <f t="shared" si="6"/>
        <v>107</v>
      </c>
      <c r="D124" s="6">
        <v>8</v>
      </c>
      <c r="E124" s="6">
        <f t="shared" si="5"/>
        <v>2977</v>
      </c>
      <c r="F124" s="6">
        <f t="shared" si="4"/>
        <v>3084</v>
      </c>
      <c r="G124" s="91"/>
    </row>
    <row r="125" spans="1:7" hidden="1" x14ac:dyDescent="0.25">
      <c r="A125" s="80">
        <v>44349</v>
      </c>
      <c r="B125" s="6">
        <v>38</v>
      </c>
      <c r="C125" s="6">
        <f t="shared" si="6"/>
        <v>108</v>
      </c>
      <c r="D125" s="6">
        <v>37</v>
      </c>
      <c r="E125" s="6">
        <f t="shared" si="5"/>
        <v>3014</v>
      </c>
      <c r="F125" s="6">
        <f t="shared" si="4"/>
        <v>3122</v>
      </c>
      <c r="G125" s="91"/>
    </row>
    <row r="126" spans="1:7" hidden="1" x14ac:dyDescent="0.25">
      <c r="A126" s="80">
        <v>44350</v>
      </c>
      <c r="B126" s="6">
        <v>29</v>
      </c>
      <c r="C126" s="6">
        <f t="shared" si="6"/>
        <v>110</v>
      </c>
      <c r="D126" s="6">
        <v>27</v>
      </c>
      <c r="E126" s="6">
        <f t="shared" si="5"/>
        <v>3041</v>
      </c>
      <c r="F126" s="6">
        <f t="shared" si="4"/>
        <v>3151</v>
      </c>
      <c r="G126" s="91"/>
    </row>
    <row r="127" spans="1:7" hidden="1" x14ac:dyDescent="0.25">
      <c r="A127" s="80">
        <v>44351</v>
      </c>
      <c r="B127" s="6">
        <v>26</v>
      </c>
      <c r="C127" s="6">
        <f t="shared" si="6"/>
        <v>107</v>
      </c>
      <c r="D127" s="6">
        <v>29</v>
      </c>
      <c r="E127" s="6">
        <f t="shared" si="5"/>
        <v>3070</v>
      </c>
      <c r="F127" s="6">
        <f t="shared" si="4"/>
        <v>3177</v>
      </c>
      <c r="G127" s="91"/>
    </row>
    <row r="128" spans="1:7" hidden="1" x14ac:dyDescent="0.25">
      <c r="A128" s="80">
        <v>44352</v>
      </c>
      <c r="B128" s="6">
        <v>39</v>
      </c>
      <c r="C128" s="6">
        <f t="shared" si="6"/>
        <v>127</v>
      </c>
      <c r="D128" s="6">
        <v>19</v>
      </c>
      <c r="E128" s="6">
        <f t="shared" si="5"/>
        <v>3089</v>
      </c>
      <c r="F128" s="6">
        <f t="shared" si="4"/>
        <v>3216</v>
      </c>
      <c r="G128" s="91"/>
    </row>
    <row r="129" spans="1:7" hidden="1" x14ac:dyDescent="0.25">
      <c r="A129" s="80">
        <v>44353</v>
      </c>
      <c r="B129" s="6">
        <v>11</v>
      </c>
      <c r="C129" s="6">
        <f t="shared" si="6"/>
        <v>116</v>
      </c>
      <c r="D129" s="6">
        <v>22</v>
      </c>
      <c r="E129" s="6">
        <f t="shared" si="5"/>
        <v>3111</v>
      </c>
      <c r="F129" s="6">
        <f t="shared" si="4"/>
        <v>3227</v>
      </c>
      <c r="G129" s="91"/>
    </row>
    <row r="130" spans="1:7" hidden="1" x14ac:dyDescent="0.25">
      <c r="A130" s="80">
        <v>44354</v>
      </c>
      <c r="B130" s="6">
        <v>49</v>
      </c>
      <c r="C130" s="6">
        <f t="shared" si="6"/>
        <v>102</v>
      </c>
      <c r="D130" s="6">
        <v>63</v>
      </c>
      <c r="E130" s="6">
        <f t="shared" si="5"/>
        <v>3174</v>
      </c>
      <c r="F130" s="6">
        <f t="shared" si="4"/>
        <v>3276</v>
      </c>
      <c r="G130" s="91"/>
    </row>
    <row r="131" spans="1:7" hidden="1" x14ac:dyDescent="0.25">
      <c r="A131" s="80">
        <v>44355</v>
      </c>
      <c r="B131" s="6">
        <v>45</v>
      </c>
      <c r="C131" s="6">
        <f t="shared" si="6"/>
        <v>135</v>
      </c>
      <c r="D131" s="6">
        <v>12</v>
      </c>
      <c r="E131" s="6">
        <f t="shared" si="5"/>
        <v>3186</v>
      </c>
      <c r="F131" s="6">
        <f t="shared" si="4"/>
        <v>3321</v>
      </c>
      <c r="G131" s="91"/>
    </row>
    <row r="132" spans="1:7" hidden="1" x14ac:dyDescent="0.25">
      <c r="A132" s="80">
        <v>44356</v>
      </c>
      <c r="B132" s="6">
        <v>52</v>
      </c>
      <c r="C132" s="6">
        <f t="shared" si="6"/>
        <v>144</v>
      </c>
      <c r="D132" s="6">
        <v>43</v>
      </c>
      <c r="E132" s="6">
        <f t="shared" si="5"/>
        <v>3229</v>
      </c>
      <c r="F132" s="6">
        <f t="shared" si="4"/>
        <v>3373</v>
      </c>
      <c r="G132" s="91"/>
    </row>
    <row r="133" spans="1:7" hidden="1" x14ac:dyDescent="0.25">
      <c r="A133" s="80">
        <v>44357</v>
      </c>
      <c r="B133" s="6">
        <v>56</v>
      </c>
      <c r="C133" s="6">
        <f t="shared" si="6"/>
        <v>159</v>
      </c>
      <c r="D133" s="6">
        <v>41</v>
      </c>
      <c r="E133" s="6">
        <f t="shared" si="5"/>
        <v>3270</v>
      </c>
      <c r="F133" s="6">
        <f t="shared" si="4"/>
        <v>3429</v>
      </c>
      <c r="G133" s="91"/>
    </row>
    <row r="134" spans="1:7" hidden="1" x14ac:dyDescent="0.25">
      <c r="A134" s="80">
        <v>44358</v>
      </c>
      <c r="B134" s="6">
        <v>47</v>
      </c>
      <c r="C134" s="6">
        <f t="shared" si="6"/>
        <v>148</v>
      </c>
      <c r="D134" s="6">
        <v>58</v>
      </c>
      <c r="E134" s="6">
        <f t="shared" si="5"/>
        <v>3328</v>
      </c>
      <c r="F134" s="6">
        <f t="shared" si="4"/>
        <v>3476</v>
      </c>
      <c r="G134" s="91"/>
    </row>
    <row r="135" spans="1:7" hidden="1" x14ac:dyDescent="0.25">
      <c r="A135" s="80">
        <v>44359</v>
      </c>
      <c r="B135" s="6">
        <v>39</v>
      </c>
      <c r="C135" s="6">
        <f t="shared" si="6"/>
        <v>167</v>
      </c>
      <c r="D135" s="6">
        <v>20</v>
      </c>
      <c r="E135" s="6">
        <f t="shared" si="5"/>
        <v>3348</v>
      </c>
      <c r="F135" s="6">
        <f t="shared" si="4"/>
        <v>3515</v>
      </c>
      <c r="G135" s="91"/>
    </row>
    <row r="136" spans="1:7" hidden="1" x14ac:dyDescent="0.25">
      <c r="A136" s="80">
        <v>44360</v>
      </c>
      <c r="B136" s="6">
        <v>23</v>
      </c>
      <c r="C136" s="6">
        <f t="shared" si="6"/>
        <v>187</v>
      </c>
      <c r="D136" s="6">
        <v>3</v>
      </c>
      <c r="E136" s="6">
        <f t="shared" si="5"/>
        <v>3351</v>
      </c>
      <c r="F136" s="6">
        <f t="shared" si="4"/>
        <v>3538</v>
      </c>
      <c r="G136" s="91"/>
    </row>
    <row r="137" spans="1:7" hidden="1" x14ac:dyDescent="0.25">
      <c r="A137" s="80">
        <v>44361</v>
      </c>
      <c r="B137" s="6">
        <v>47</v>
      </c>
      <c r="C137" s="6">
        <f t="shared" si="6"/>
        <v>198</v>
      </c>
      <c r="D137" s="6">
        <v>36</v>
      </c>
      <c r="E137" s="6">
        <f t="shared" si="5"/>
        <v>3387</v>
      </c>
      <c r="F137" s="6">
        <f t="shared" si="4"/>
        <v>3585</v>
      </c>
      <c r="G137" s="91"/>
    </row>
    <row r="138" spans="1:7" hidden="1" x14ac:dyDescent="0.25">
      <c r="A138" s="80">
        <v>44362</v>
      </c>
      <c r="B138" s="6">
        <v>58</v>
      </c>
      <c r="C138" s="6">
        <f t="shared" si="6"/>
        <v>206</v>
      </c>
      <c r="D138" s="6">
        <v>50</v>
      </c>
      <c r="E138" s="6">
        <f t="shared" si="5"/>
        <v>3437</v>
      </c>
      <c r="F138" s="6">
        <f t="shared" ref="F138:F201" si="7">E138+C138</f>
        <v>3643</v>
      </c>
      <c r="G138" s="91"/>
    </row>
    <row r="139" spans="1:7" hidden="1" x14ac:dyDescent="0.25">
      <c r="A139" s="80">
        <v>44363</v>
      </c>
      <c r="B139" s="6">
        <v>59</v>
      </c>
      <c r="C139" s="6">
        <f t="shared" si="6"/>
        <v>212</v>
      </c>
      <c r="D139" s="6">
        <v>53</v>
      </c>
      <c r="E139" s="6">
        <f t="shared" ref="E139:E202" si="8">E138+D139</f>
        <v>3490</v>
      </c>
      <c r="F139" s="6">
        <f t="shared" si="7"/>
        <v>3702</v>
      </c>
      <c r="G139" s="91"/>
    </row>
    <row r="140" spans="1:7" hidden="1" x14ac:dyDescent="0.25">
      <c r="A140" s="80">
        <v>44364</v>
      </c>
      <c r="B140" s="6">
        <v>65</v>
      </c>
      <c r="C140" s="6">
        <f t="shared" si="6"/>
        <v>227</v>
      </c>
      <c r="D140" s="6">
        <v>50</v>
      </c>
      <c r="E140" s="6">
        <f t="shared" si="8"/>
        <v>3540</v>
      </c>
      <c r="F140" s="6">
        <f t="shared" si="7"/>
        <v>3767</v>
      </c>
      <c r="G140" s="91"/>
    </row>
    <row r="141" spans="1:7" hidden="1" x14ac:dyDescent="0.25">
      <c r="A141" s="80">
        <v>44365</v>
      </c>
      <c r="B141" s="6">
        <v>55</v>
      </c>
      <c r="C141" s="6">
        <f t="shared" si="6"/>
        <v>235</v>
      </c>
      <c r="D141" s="6">
        <v>47</v>
      </c>
      <c r="E141" s="6">
        <f t="shared" si="8"/>
        <v>3587</v>
      </c>
      <c r="F141" s="6">
        <f t="shared" si="7"/>
        <v>3822</v>
      </c>
      <c r="G141" s="91"/>
    </row>
    <row r="142" spans="1:7" hidden="1" x14ac:dyDescent="0.25">
      <c r="A142" s="80">
        <v>44366</v>
      </c>
      <c r="B142" s="6">
        <v>50</v>
      </c>
      <c r="C142" s="6">
        <f t="shared" si="6"/>
        <v>215</v>
      </c>
      <c r="D142" s="6">
        <v>70</v>
      </c>
      <c r="E142" s="6">
        <f t="shared" si="8"/>
        <v>3657</v>
      </c>
      <c r="F142" s="6">
        <f t="shared" si="7"/>
        <v>3872</v>
      </c>
      <c r="G142" s="91"/>
    </row>
    <row r="143" spans="1:7" hidden="1" x14ac:dyDescent="0.25">
      <c r="A143" s="80">
        <v>44367</v>
      </c>
      <c r="B143" s="6">
        <v>34</v>
      </c>
      <c r="C143" s="6">
        <f t="shared" si="6"/>
        <v>230</v>
      </c>
      <c r="D143" s="6">
        <v>19</v>
      </c>
      <c r="E143" s="6">
        <f t="shared" si="8"/>
        <v>3676</v>
      </c>
      <c r="F143" s="6">
        <f t="shared" si="7"/>
        <v>3906</v>
      </c>
      <c r="G143" s="91"/>
    </row>
    <row r="144" spans="1:7" hidden="1" x14ac:dyDescent="0.25">
      <c r="A144" s="80">
        <v>44368</v>
      </c>
      <c r="B144" s="6">
        <v>79</v>
      </c>
      <c r="C144" s="6">
        <f t="shared" si="6"/>
        <v>216</v>
      </c>
      <c r="D144" s="6">
        <v>93</v>
      </c>
      <c r="E144" s="6">
        <f t="shared" si="8"/>
        <v>3769</v>
      </c>
      <c r="F144" s="6">
        <f t="shared" si="7"/>
        <v>3985</v>
      </c>
      <c r="G144" s="91"/>
    </row>
    <row r="145" spans="1:7" hidden="1" x14ac:dyDescent="0.25">
      <c r="A145" s="80">
        <v>44369</v>
      </c>
      <c r="B145" s="6">
        <v>38</v>
      </c>
      <c r="C145" s="6">
        <f t="shared" si="6"/>
        <v>232</v>
      </c>
      <c r="D145" s="6">
        <v>22</v>
      </c>
      <c r="E145" s="6">
        <f t="shared" si="8"/>
        <v>3791</v>
      </c>
      <c r="F145" s="6">
        <f t="shared" si="7"/>
        <v>4023</v>
      </c>
      <c r="G145" s="91"/>
    </row>
    <row r="146" spans="1:7" hidden="1" x14ac:dyDescent="0.25">
      <c r="A146" s="80">
        <v>44370</v>
      </c>
      <c r="B146" s="6">
        <v>52</v>
      </c>
      <c r="C146" s="6">
        <f t="shared" si="6"/>
        <v>206</v>
      </c>
      <c r="D146" s="6">
        <v>78</v>
      </c>
      <c r="E146" s="6">
        <f t="shared" si="8"/>
        <v>3869</v>
      </c>
      <c r="F146" s="6">
        <f t="shared" si="7"/>
        <v>4075</v>
      </c>
      <c r="G146" s="91"/>
    </row>
    <row r="147" spans="1:7" hidden="1" x14ac:dyDescent="0.25">
      <c r="A147" s="80">
        <v>44371</v>
      </c>
      <c r="B147" s="6">
        <v>35</v>
      </c>
      <c r="C147" s="6">
        <f t="shared" si="6"/>
        <v>197</v>
      </c>
      <c r="D147" s="6">
        <v>44</v>
      </c>
      <c r="E147" s="6">
        <f t="shared" si="8"/>
        <v>3913</v>
      </c>
      <c r="F147" s="6">
        <f t="shared" si="7"/>
        <v>4110</v>
      </c>
      <c r="G147" s="91"/>
    </row>
    <row r="148" spans="1:7" hidden="1" x14ac:dyDescent="0.25">
      <c r="A148" s="80">
        <v>44372</v>
      </c>
      <c r="B148" s="6">
        <v>43</v>
      </c>
      <c r="C148" s="6">
        <f t="shared" ref="C148:C211" si="9">C147-D148+B148</f>
        <v>222</v>
      </c>
      <c r="D148" s="6">
        <v>18</v>
      </c>
      <c r="E148" s="6">
        <f t="shared" si="8"/>
        <v>3931</v>
      </c>
      <c r="F148" s="6">
        <f t="shared" si="7"/>
        <v>4153</v>
      </c>
      <c r="G148" s="91"/>
    </row>
    <row r="149" spans="1:7" hidden="1" x14ac:dyDescent="0.25">
      <c r="A149" s="80">
        <v>44373</v>
      </c>
      <c r="B149" s="6">
        <v>48</v>
      </c>
      <c r="C149" s="6">
        <f t="shared" si="9"/>
        <v>239</v>
      </c>
      <c r="D149" s="6">
        <v>31</v>
      </c>
      <c r="E149" s="6">
        <f t="shared" si="8"/>
        <v>3962</v>
      </c>
      <c r="F149" s="6">
        <f t="shared" si="7"/>
        <v>4201</v>
      </c>
      <c r="G149" s="91"/>
    </row>
    <row r="150" spans="1:7" hidden="1" x14ac:dyDescent="0.25">
      <c r="A150" s="80">
        <v>44374</v>
      </c>
      <c r="B150" s="6">
        <v>28</v>
      </c>
      <c r="C150" s="6">
        <f t="shared" si="9"/>
        <v>239</v>
      </c>
      <c r="D150" s="6">
        <v>28</v>
      </c>
      <c r="E150" s="6">
        <f t="shared" si="8"/>
        <v>3990</v>
      </c>
      <c r="F150" s="6">
        <f t="shared" si="7"/>
        <v>4229</v>
      </c>
      <c r="G150" s="91"/>
    </row>
    <row r="151" spans="1:7" hidden="1" x14ac:dyDescent="0.25">
      <c r="A151" s="80">
        <v>44375</v>
      </c>
      <c r="B151" s="6">
        <v>73</v>
      </c>
      <c r="C151" s="6">
        <f t="shared" si="9"/>
        <v>287</v>
      </c>
      <c r="D151" s="6">
        <v>25</v>
      </c>
      <c r="E151" s="6">
        <f t="shared" si="8"/>
        <v>4015</v>
      </c>
      <c r="F151" s="6">
        <f t="shared" si="7"/>
        <v>4302</v>
      </c>
      <c r="G151" s="91"/>
    </row>
    <row r="152" spans="1:7" hidden="1" x14ac:dyDescent="0.25">
      <c r="A152" s="80">
        <v>44376</v>
      </c>
      <c r="B152" s="6">
        <v>50</v>
      </c>
      <c r="C152" s="6">
        <f t="shared" si="9"/>
        <v>286</v>
      </c>
      <c r="D152" s="6">
        <v>51</v>
      </c>
      <c r="E152" s="6">
        <f t="shared" si="8"/>
        <v>4066</v>
      </c>
      <c r="F152" s="6">
        <f t="shared" si="7"/>
        <v>4352</v>
      </c>
      <c r="G152" s="91"/>
    </row>
    <row r="153" spans="1:7" hidden="1" x14ac:dyDescent="0.25">
      <c r="A153" s="80">
        <v>44377</v>
      </c>
      <c r="B153" s="6">
        <v>25</v>
      </c>
      <c r="C153" s="6">
        <f t="shared" si="9"/>
        <v>261</v>
      </c>
      <c r="D153" s="6">
        <v>50</v>
      </c>
      <c r="E153" s="6">
        <f t="shared" si="8"/>
        <v>4116</v>
      </c>
      <c r="F153" s="6">
        <f t="shared" si="7"/>
        <v>4377</v>
      </c>
      <c r="G153" s="91"/>
    </row>
    <row r="154" spans="1:7" hidden="1" x14ac:dyDescent="0.25">
      <c r="A154" s="80">
        <v>44378</v>
      </c>
      <c r="B154" s="6">
        <v>43</v>
      </c>
      <c r="C154" s="6">
        <f t="shared" si="9"/>
        <v>239</v>
      </c>
      <c r="D154" s="6">
        <v>65</v>
      </c>
      <c r="E154" s="6">
        <f t="shared" si="8"/>
        <v>4181</v>
      </c>
      <c r="F154" s="6">
        <f t="shared" si="7"/>
        <v>4420</v>
      </c>
      <c r="G154" s="91"/>
    </row>
    <row r="155" spans="1:7" hidden="1" x14ac:dyDescent="0.25">
      <c r="A155" s="80">
        <v>44379</v>
      </c>
      <c r="B155" s="6">
        <v>13</v>
      </c>
      <c r="C155" s="6">
        <f t="shared" si="9"/>
        <v>192</v>
      </c>
      <c r="D155" s="6">
        <v>60</v>
      </c>
      <c r="E155" s="6">
        <f t="shared" si="8"/>
        <v>4241</v>
      </c>
      <c r="F155" s="6">
        <f t="shared" si="7"/>
        <v>4433</v>
      </c>
      <c r="G155" s="91"/>
    </row>
    <row r="156" spans="1:7" hidden="1" x14ac:dyDescent="0.25">
      <c r="A156" s="80">
        <v>44380</v>
      </c>
      <c r="B156" s="6">
        <v>55</v>
      </c>
      <c r="C156" s="6">
        <f t="shared" si="9"/>
        <v>198</v>
      </c>
      <c r="D156" s="6">
        <v>49</v>
      </c>
      <c r="E156" s="6">
        <f t="shared" si="8"/>
        <v>4290</v>
      </c>
      <c r="F156" s="6">
        <f t="shared" si="7"/>
        <v>4488</v>
      </c>
      <c r="G156" s="91"/>
    </row>
    <row r="157" spans="1:7" hidden="1" x14ac:dyDescent="0.25">
      <c r="A157" s="80">
        <v>44381</v>
      </c>
      <c r="B157" s="6">
        <v>22</v>
      </c>
      <c r="C157" s="6">
        <f t="shared" si="9"/>
        <v>205</v>
      </c>
      <c r="D157" s="6">
        <v>15</v>
      </c>
      <c r="E157" s="6">
        <f t="shared" si="8"/>
        <v>4305</v>
      </c>
      <c r="F157" s="6">
        <f t="shared" si="7"/>
        <v>4510</v>
      </c>
      <c r="G157" s="91"/>
    </row>
    <row r="158" spans="1:7" hidden="1" x14ac:dyDescent="0.25">
      <c r="A158" s="80">
        <v>44382</v>
      </c>
      <c r="B158" s="6">
        <v>24</v>
      </c>
      <c r="C158" s="6">
        <f t="shared" si="9"/>
        <v>183</v>
      </c>
      <c r="D158" s="6">
        <v>46</v>
      </c>
      <c r="E158" s="6">
        <f t="shared" si="8"/>
        <v>4351</v>
      </c>
      <c r="F158" s="6">
        <f t="shared" si="7"/>
        <v>4534</v>
      </c>
      <c r="G158" s="91"/>
    </row>
    <row r="159" spans="1:7" hidden="1" x14ac:dyDescent="0.25">
      <c r="A159" s="80">
        <v>44383</v>
      </c>
      <c r="B159" s="6">
        <v>36</v>
      </c>
      <c r="C159" s="6">
        <f t="shared" si="9"/>
        <v>176</v>
      </c>
      <c r="D159" s="6">
        <v>43</v>
      </c>
      <c r="E159" s="6">
        <f t="shared" si="8"/>
        <v>4394</v>
      </c>
      <c r="F159" s="6">
        <f t="shared" si="7"/>
        <v>4570</v>
      </c>
      <c r="G159" s="91"/>
    </row>
    <row r="160" spans="1:7" hidden="1" x14ac:dyDescent="0.25">
      <c r="A160" s="80">
        <v>44384</v>
      </c>
      <c r="B160" s="6">
        <v>21</v>
      </c>
      <c r="C160" s="6">
        <f t="shared" si="9"/>
        <v>189</v>
      </c>
      <c r="D160" s="6">
        <v>8</v>
      </c>
      <c r="E160" s="6">
        <f t="shared" si="8"/>
        <v>4402</v>
      </c>
      <c r="F160" s="6">
        <f t="shared" si="7"/>
        <v>4591</v>
      </c>
      <c r="G160" s="91"/>
    </row>
    <row r="161" spans="1:7" hidden="1" x14ac:dyDescent="0.25">
      <c r="A161" s="80">
        <v>44385</v>
      </c>
      <c r="B161" s="6">
        <v>28</v>
      </c>
      <c r="C161" s="6">
        <f t="shared" si="9"/>
        <v>181</v>
      </c>
      <c r="D161" s="6">
        <v>36</v>
      </c>
      <c r="E161" s="6">
        <f t="shared" si="8"/>
        <v>4438</v>
      </c>
      <c r="F161" s="6">
        <f t="shared" si="7"/>
        <v>4619</v>
      </c>
      <c r="G161" s="91"/>
    </row>
    <row r="162" spans="1:7" hidden="1" x14ac:dyDescent="0.25">
      <c r="A162" s="80">
        <v>44386</v>
      </c>
      <c r="B162" s="6">
        <v>34</v>
      </c>
      <c r="C162" s="6">
        <f t="shared" si="9"/>
        <v>161</v>
      </c>
      <c r="D162" s="6">
        <v>54</v>
      </c>
      <c r="E162" s="6">
        <f t="shared" si="8"/>
        <v>4492</v>
      </c>
      <c r="F162" s="6">
        <f t="shared" si="7"/>
        <v>4653</v>
      </c>
      <c r="G162" s="91"/>
    </row>
    <row r="163" spans="1:7" hidden="1" x14ac:dyDescent="0.25">
      <c r="A163" s="80">
        <v>44387</v>
      </c>
      <c r="B163" s="6">
        <v>13</v>
      </c>
      <c r="C163" s="6">
        <f t="shared" si="9"/>
        <v>137</v>
      </c>
      <c r="D163" s="6">
        <v>37</v>
      </c>
      <c r="E163" s="6">
        <f t="shared" si="8"/>
        <v>4529</v>
      </c>
      <c r="F163" s="6">
        <f t="shared" si="7"/>
        <v>4666</v>
      </c>
      <c r="G163" s="91"/>
    </row>
    <row r="164" spans="1:7" hidden="1" x14ac:dyDescent="0.25">
      <c r="A164" s="80">
        <v>44388</v>
      </c>
      <c r="B164" s="6">
        <v>3</v>
      </c>
      <c r="C164" s="6">
        <f t="shared" si="9"/>
        <v>125</v>
      </c>
      <c r="D164" s="6">
        <v>15</v>
      </c>
      <c r="E164" s="6">
        <f t="shared" si="8"/>
        <v>4544</v>
      </c>
      <c r="F164" s="6">
        <f t="shared" si="7"/>
        <v>4669</v>
      </c>
      <c r="G164" s="91"/>
    </row>
    <row r="165" spans="1:7" hidden="1" x14ac:dyDescent="0.25">
      <c r="A165" s="80">
        <v>44389</v>
      </c>
      <c r="B165" s="6">
        <v>19</v>
      </c>
      <c r="C165" s="6">
        <f t="shared" si="9"/>
        <v>125</v>
      </c>
      <c r="D165" s="6">
        <v>19</v>
      </c>
      <c r="E165" s="6">
        <f t="shared" si="8"/>
        <v>4563</v>
      </c>
      <c r="F165" s="6">
        <f t="shared" si="7"/>
        <v>4688</v>
      </c>
      <c r="G165" s="91"/>
    </row>
    <row r="166" spans="1:7" hidden="1" x14ac:dyDescent="0.25">
      <c r="A166" s="80">
        <v>44390</v>
      </c>
      <c r="B166" s="6">
        <v>14</v>
      </c>
      <c r="C166" s="6">
        <f t="shared" si="9"/>
        <v>121</v>
      </c>
      <c r="D166" s="6">
        <v>18</v>
      </c>
      <c r="E166" s="6">
        <f t="shared" si="8"/>
        <v>4581</v>
      </c>
      <c r="F166" s="6">
        <f t="shared" si="7"/>
        <v>4702</v>
      </c>
      <c r="G166" s="91"/>
    </row>
    <row r="167" spans="1:7" hidden="1" x14ac:dyDescent="0.25">
      <c r="A167" s="80">
        <v>44391</v>
      </c>
      <c r="B167" s="6">
        <v>15</v>
      </c>
      <c r="C167" s="6">
        <f t="shared" si="9"/>
        <v>115</v>
      </c>
      <c r="D167" s="6">
        <v>21</v>
      </c>
      <c r="E167" s="6">
        <f t="shared" si="8"/>
        <v>4602</v>
      </c>
      <c r="F167" s="6">
        <f t="shared" si="7"/>
        <v>4717</v>
      </c>
      <c r="G167" s="91"/>
    </row>
    <row r="168" spans="1:7" hidden="1" x14ac:dyDescent="0.25">
      <c r="A168" s="80">
        <v>44392</v>
      </c>
      <c r="B168" s="6">
        <v>19</v>
      </c>
      <c r="C168" s="6">
        <f t="shared" si="9"/>
        <v>118</v>
      </c>
      <c r="D168" s="6">
        <v>16</v>
      </c>
      <c r="E168" s="6">
        <f t="shared" si="8"/>
        <v>4618</v>
      </c>
      <c r="F168" s="6">
        <f t="shared" si="7"/>
        <v>4736</v>
      </c>
      <c r="G168" s="91"/>
    </row>
    <row r="169" spans="1:7" hidden="1" x14ac:dyDescent="0.25">
      <c r="A169" s="80">
        <v>44393</v>
      </c>
      <c r="B169" s="6">
        <v>10</v>
      </c>
      <c r="C169" s="6">
        <f t="shared" si="9"/>
        <v>117</v>
      </c>
      <c r="D169" s="6">
        <v>11</v>
      </c>
      <c r="E169" s="6">
        <f t="shared" si="8"/>
        <v>4629</v>
      </c>
      <c r="F169" s="6">
        <f t="shared" si="7"/>
        <v>4746</v>
      </c>
      <c r="G169" s="91"/>
    </row>
    <row r="170" spans="1:7" hidden="1" x14ac:dyDescent="0.25">
      <c r="A170" s="80">
        <v>44394</v>
      </c>
      <c r="B170" s="6">
        <v>8</v>
      </c>
      <c r="C170" s="6">
        <f t="shared" si="9"/>
        <v>115</v>
      </c>
      <c r="D170" s="6">
        <v>10</v>
      </c>
      <c r="E170" s="6">
        <f t="shared" si="8"/>
        <v>4639</v>
      </c>
      <c r="F170" s="6">
        <f t="shared" si="7"/>
        <v>4754</v>
      </c>
      <c r="G170" s="91"/>
    </row>
    <row r="171" spans="1:7" hidden="1" x14ac:dyDescent="0.25">
      <c r="A171" s="80">
        <v>44395</v>
      </c>
      <c r="B171" s="6">
        <v>4</v>
      </c>
      <c r="C171" s="6">
        <f t="shared" si="9"/>
        <v>107</v>
      </c>
      <c r="D171" s="6">
        <v>12</v>
      </c>
      <c r="E171" s="6">
        <f t="shared" si="8"/>
        <v>4651</v>
      </c>
      <c r="F171" s="6">
        <f t="shared" si="7"/>
        <v>4758</v>
      </c>
      <c r="G171" s="91"/>
    </row>
    <row r="172" spans="1:7" hidden="1" x14ac:dyDescent="0.25">
      <c r="A172" s="80">
        <v>44396</v>
      </c>
      <c r="B172" s="6">
        <v>15</v>
      </c>
      <c r="C172" s="6">
        <f t="shared" si="9"/>
        <v>109</v>
      </c>
      <c r="D172" s="6">
        <v>13</v>
      </c>
      <c r="E172" s="6">
        <f t="shared" si="8"/>
        <v>4664</v>
      </c>
      <c r="F172" s="6">
        <f t="shared" si="7"/>
        <v>4773</v>
      </c>
      <c r="G172" s="91"/>
    </row>
    <row r="173" spans="1:7" hidden="1" x14ac:dyDescent="0.25">
      <c r="A173" s="80">
        <v>44397</v>
      </c>
      <c r="B173" s="6">
        <v>4</v>
      </c>
      <c r="C173" s="6">
        <f t="shared" si="9"/>
        <v>109</v>
      </c>
      <c r="D173" s="6">
        <v>4</v>
      </c>
      <c r="E173" s="6">
        <f t="shared" si="8"/>
        <v>4668</v>
      </c>
      <c r="F173" s="6">
        <f t="shared" si="7"/>
        <v>4777</v>
      </c>
      <c r="G173" s="91"/>
    </row>
    <row r="174" spans="1:7" hidden="1" x14ac:dyDescent="0.25">
      <c r="A174" s="80">
        <v>44398</v>
      </c>
      <c r="B174" s="6">
        <v>12</v>
      </c>
      <c r="C174" s="6">
        <f t="shared" si="9"/>
        <v>107</v>
      </c>
      <c r="D174" s="6">
        <v>14</v>
      </c>
      <c r="E174" s="6">
        <f t="shared" si="8"/>
        <v>4682</v>
      </c>
      <c r="F174" s="6">
        <f t="shared" si="7"/>
        <v>4789</v>
      </c>
      <c r="G174" s="91"/>
    </row>
    <row r="175" spans="1:7" hidden="1" x14ac:dyDescent="0.25">
      <c r="A175" s="80">
        <v>44399</v>
      </c>
      <c r="B175" s="6">
        <v>10</v>
      </c>
      <c r="C175" s="6">
        <f t="shared" si="9"/>
        <v>97</v>
      </c>
      <c r="D175" s="6">
        <v>20</v>
      </c>
      <c r="E175" s="6">
        <f t="shared" si="8"/>
        <v>4702</v>
      </c>
      <c r="F175" s="6">
        <f t="shared" si="7"/>
        <v>4799</v>
      </c>
      <c r="G175" s="91"/>
    </row>
    <row r="176" spans="1:7" hidden="1" x14ac:dyDescent="0.25">
      <c r="A176" s="80">
        <v>44400</v>
      </c>
      <c r="B176" s="6">
        <v>5</v>
      </c>
      <c r="C176" s="6">
        <f t="shared" si="9"/>
        <v>91</v>
      </c>
      <c r="D176" s="6">
        <v>11</v>
      </c>
      <c r="E176" s="6">
        <f t="shared" si="8"/>
        <v>4713</v>
      </c>
      <c r="F176" s="6">
        <f t="shared" si="7"/>
        <v>4804</v>
      </c>
      <c r="G176" s="91"/>
    </row>
    <row r="177" spans="1:7" hidden="1" x14ac:dyDescent="0.25">
      <c r="A177" s="80">
        <v>44401</v>
      </c>
      <c r="B177" s="6">
        <v>5</v>
      </c>
      <c r="C177" s="6">
        <f t="shared" si="9"/>
        <v>87</v>
      </c>
      <c r="D177" s="6">
        <v>9</v>
      </c>
      <c r="E177" s="6">
        <f t="shared" si="8"/>
        <v>4722</v>
      </c>
      <c r="F177" s="6">
        <f t="shared" si="7"/>
        <v>4809</v>
      </c>
      <c r="G177" s="91"/>
    </row>
    <row r="178" spans="1:7" hidden="1" x14ac:dyDescent="0.25">
      <c r="A178" s="80">
        <v>44402</v>
      </c>
      <c r="B178" s="6">
        <v>4</v>
      </c>
      <c r="C178" s="6">
        <f t="shared" si="9"/>
        <v>89</v>
      </c>
      <c r="D178" s="6">
        <v>2</v>
      </c>
      <c r="E178" s="6">
        <f t="shared" si="8"/>
        <v>4724</v>
      </c>
      <c r="F178" s="6">
        <f t="shared" si="7"/>
        <v>4813</v>
      </c>
      <c r="G178" s="91"/>
    </row>
    <row r="179" spans="1:7" hidden="1" x14ac:dyDescent="0.25">
      <c r="A179" s="80">
        <v>44403</v>
      </c>
      <c r="B179" s="6">
        <v>10</v>
      </c>
      <c r="C179" s="6">
        <f t="shared" si="9"/>
        <v>84</v>
      </c>
      <c r="D179" s="6">
        <v>15</v>
      </c>
      <c r="E179" s="6">
        <f t="shared" si="8"/>
        <v>4739</v>
      </c>
      <c r="F179" s="6">
        <f t="shared" si="7"/>
        <v>4823</v>
      </c>
      <c r="G179" s="91"/>
    </row>
    <row r="180" spans="1:7" hidden="1" x14ac:dyDescent="0.25">
      <c r="A180" s="80">
        <v>44404</v>
      </c>
      <c r="B180" s="6">
        <v>8</v>
      </c>
      <c r="C180" s="6">
        <f t="shared" si="9"/>
        <v>72</v>
      </c>
      <c r="D180" s="6">
        <v>20</v>
      </c>
      <c r="E180" s="6">
        <f t="shared" si="8"/>
        <v>4759</v>
      </c>
      <c r="F180" s="6">
        <f t="shared" si="7"/>
        <v>4831</v>
      </c>
      <c r="G180" s="91"/>
    </row>
    <row r="181" spans="1:7" hidden="1" x14ac:dyDescent="0.25">
      <c r="A181" s="80">
        <v>44405</v>
      </c>
      <c r="B181" s="6">
        <v>6</v>
      </c>
      <c r="C181" s="6">
        <f t="shared" si="9"/>
        <v>68</v>
      </c>
      <c r="D181" s="6">
        <v>10</v>
      </c>
      <c r="E181" s="6">
        <f t="shared" si="8"/>
        <v>4769</v>
      </c>
      <c r="F181" s="6">
        <f t="shared" si="7"/>
        <v>4837</v>
      </c>
      <c r="G181" s="91"/>
    </row>
    <row r="182" spans="1:7" hidden="1" x14ac:dyDescent="0.25">
      <c r="A182" s="80">
        <v>44406</v>
      </c>
      <c r="B182" s="6">
        <v>10</v>
      </c>
      <c r="C182" s="6">
        <f t="shared" si="9"/>
        <v>67</v>
      </c>
      <c r="D182" s="6">
        <v>11</v>
      </c>
      <c r="E182" s="6">
        <f t="shared" si="8"/>
        <v>4780</v>
      </c>
      <c r="F182" s="6">
        <f t="shared" si="7"/>
        <v>4847</v>
      </c>
      <c r="G182" s="91"/>
    </row>
    <row r="183" spans="1:7" hidden="1" x14ac:dyDescent="0.25">
      <c r="A183" s="80">
        <v>44407</v>
      </c>
      <c r="B183" s="6">
        <v>5</v>
      </c>
      <c r="C183" s="6">
        <f t="shared" si="9"/>
        <v>63</v>
      </c>
      <c r="D183" s="6">
        <v>9</v>
      </c>
      <c r="E183" s="6">
        <f t="shared" si="8"/>
        <v>4789</v>
      </c>
      <c r="F183" s="6">
        <f t="shared" si="7"/>
        <v>4852</v>
      </c>
      <c r="G183" s="91"/>
    </row>
    <row r="184" spans="1:7" hidden="1" x14ac:dyDescent="0.25">
      <c r="A184" s="80">
        <v>44408</v>
      </c>
      <c r="B184" s="6">
        <v>8</v>
      </c>
      <c r="C184" s="6">
        <f t="shared" si="9"/>
        <v>49</v>
      </c>
      <c r="D184" s="6">
        <v>22</v>
      </c>
      <c r="E184" s="6">
        <f t="shared" si="8"/>
        <v>4811</v>
      </c>
      <c r="F184" s="6">
        <f t="shared" si="7"/>
        <v>4860</v>
      </c>
      <c r="G184" s="91"/>
    </row>
    <row r="185" spans="1:7" hidden="1" x14ac:dyDescent="0.25">
      <c r="A185" s="80">
        <v>44409</v>
      </c>
      <c r="B185" s="6">
        <v>0</v>
      </c>
      <c r="C185" s="6">
        <f t="shared" si="9"/>
        <v>45</v>
      </c>
      <c r="D185" s="6">
        <v>4</v>
      </c>
      <c r="E185" s="6">
        <f t="shared" si="8"/>
        <v>4815</v>
      </c>
      <c r="F185" s="6">
        <f t="shared" si="7"/>
        <v>4860</v>
      </c>
      <c r="G185" s="91"/>
    </row>
    <row r="186" spans="1:7" hidden="1" x14ac:dyDescent="0.25">
      <c r="A186" s="80">
        <v>44410</v>
      </c>
      <c r="B186" s="6">
        <v>8</v>
      </c>
      <c r="C186" s="6">
        <f t="shared" si="9"/>
        <v>41</v>
      </c>
      <c r="D186" s="6">
        <v>12</v>
      </c>
      <c r="E186" s="6">
        <f t="shared" si="8"/>
        <v>4827</v>
      </c>
      <c r="F186" s="6">
        <f t="shared" si="7"/>
        <v>4868</v>
      </c>
      <c r="G186" s="91"/>
    </row>
    <row r="187" spans="1:7" hidden="1" x14ac:dyDescent="0.25">
      <c r="A187" s="80">
        <v>44411</v>
      </c>
      <c r="B187" s="6">
        <v>7</v>
      </c>
      <c r="C187" s="6">
        <f t="shared" si="9"/>
        <v>40</v>
      </c>
      <c r="D187" s="6">
        <v>8</v>
      </c>
      <c r="E187" s="6">
        <f t="shared" si="8"/>
        <v>4835</v>
      </c>
      <c r="F187" s="6">
        <f t="shared" si="7"/>
        <v>4875</v>
      </c>
      <c r="G187" s="91"/>
    </row>
    <row r="188" spans="1:7" hidden="1" x14ac:dyDescent="0.25">
      <c r="A188" s="80">
        <v>44412</v>
      </c>
      <c r="B188" s="6">
        <v>11</v>
      </c>
      <c r="C188" s="6">
        <f t="shared" si="9"/>
        <v>38</v>
      </c>
      <c r="D188" s="6">
        <v>13</v>
      </c>
      <c r="E188" s="6">
        <f t="shared" si="8"/>
        <v>4848</v>
      </c>
      <c r="F188" s="6">
        <f t="shared" si="7"/>
        <v>4886</v>
      </c>
      <c r="G188" s="91"/>
    </row>
    <row r="189" spans="1:7" hidden="1" x14ac:dyDescent="0.25">
      <c r="A189" s="80">
        <v>44413</v>
      </c>
      <c r="B189" s="6">
        <v>6</v>
      </c>
      <c r="C189" s="6">
        <f t="shared" si="9"/>
        <v>39</v>
      </c>
      <c r="D189" s="6">
        <v>5</v>
      </c>
      <c r="E189" s="6">
        <f t="shared" si="8"/>
        <v>4853</v>
      </c>
      <c r="F189" s="6">
        <f t="shared" si="7"/>
        <v>4892</v>
      </c>
      <c r="G189" s="91"/>
    </row>
    <row r="190" spans="1:7" hidden="1" x14ac:dyDescent="0.25">
      <c r="A190" s="80">
        <v>44414</v>
      </c>
      <c r="B190" s="6">
        <v>5</v>
      </c>
      <c r="C190" s="6">
        <f t="shared" si="9"/>
        <v>40</v>
      </c>
      <c r="D190" s="6">
        <v>4</v>
      </c>
      <c r="E190" s="6">
        <f t="shared" si="8"/>
        <v>4857</v>
      </c>
      <c r="F190" s="6">
        <f t="shared" si="7"/>
        <v>4897</v>
      </c>
      <c r="G190" s="91"/>
    </row>
    <row r="191" spans="1:7" hidden="1" x14ac:dyDescent="0.25">
      <c r="A191" s="80">
        <v>44415</v>
      </c>
      <c r="B191" s="6">
        <v>4</v>
      </c>
      <c r="C191" s="6">
        <f t="shared" si="9"/>
        <v>40</v>
      </c>
      <c r="D191" s="6">
        <v>4</v>
      </c>
      <c r="E191" s="6">
        <f t="shared" si="8"/>
        <v>4861</v>
      </c>
      <c r="F191" s="6">
        <f t="shared" si="7"/>
        <v>4901</v>
      </c>
      <c r="G191" s="91"/>
    </row>
    <row r="192" spans="1:7" hidden="1" x14ac:dyDescent="0.25">
      <c r="A192" s="80">
        <v>44416</v>
      </c>
      <c r="B192" s="6">
        <v>4</v>
      </c>
      <c r="C192" s="6">
        <f t="shared" si="9"/>
        <v>42</v>
      </c>
      <c r="D192" s="6">
        <v>2</v>
      </c>
      <c r="E192" s="6">
        <f t="shared" si="8"/>
        <v>4863</v>
      </c>
      <c r="F192" s="6">
        <f t="shared" si="7"/>
        <v>4905</v>
      </c>
      <c r="G192" s="91"/>
    </row>
    <row r="193" spans="1:7" hidden="1" x14ac:dyDescent="0.25">
      <c r="A193" s="80">
        <v>44417</v>
      </c>
      <c r="B193" s="6">
        <v>5</v>
      </c>
      <c r="C193" s="6">
        <f t="shared" si="9"/>
        <v>38</v>
      </c>
      <c r="D193" s="6">
        <v>9</v>
      </c>
      <c r="E193" s="6">
        <f t="shared" si="8"/>
        <v>4872</v>
      </c>
      <c r="F193" s="6">
        <f t="shared" si="7"/>
        <v>4910</v>
      </c>
      <c r="G193" s="91"/>
    </row>
    <row r="194" spans="1:7" hidden="1" x14ac:dyDescent="0.25">
      <c r="A194" s="80">
        <v>44418</v>
      </c>
      <c r="B194" s="6">
        <v>2</v>
      </c>
      <c r="C194" s="6">
        <f t="shared" si="9"/>
        <v>34</v>
      </c>
      <c r="D194" s="6">
        <v>6</v>
      </c>
      <c r="E194" s="6">
        <f t="shared" si="8"/>
        <v>4878</v>
      </c>
      <c r="F194" s="6">
        <f t="shared" si="7"/>
        <v>4912</v>
      </c>
      <c r="G194" s="91"/>
    </row>
    <row r="195" spans="1:7" hidden="1" x14ac:dyDescent="0.25">
      <c r="A195" s="80">
        <v>44419</v>
      </c>
      <c r="B195" s="6">
        <v>1</v>
      </c>
      <c r="C195" s="6">
        <f t="shared" si="9"/>
        <v>29</v>
      </c>
      <c r="D195" s="6">
        <v>6</v>
      </c>
      <c r="E195" s="6">
        <f t="shared" si="8"/>
        <v>4884</v>
      </c>
      <c r="F195" s="6">
        <f t="shared" si="7"/>
        <v>4913</v>
      </c>
      <c r="G195" s="91"/>
    </row>
    <row r="196" spans="1:7" hidden="1" x14ac:dyDescent="0.25">
      <c r="A196" s="80">
        <v>44420</v>
      </c>
      <c r="B196" s="6">
        <v>6</v>
      </c>
      <c r="C196" s="6">
        <f t="shared" si="9"/>
        <v>29</v>
      </c>
      <c r="D196" s="6">
        <v>6</v>
      </c>
      <c r="E196" s="6">
        <f t="shared" si="8"/>
        <v>4890</v>
      </c>
      <c r="F196" s="6">
        <f t="shared" si="7"/>
        <v>4919</v>
      </c>
      <c r="G196" s="91"/>
    </row>
    <row r="197" spans="1:7" hidden="1" x14ac:dyDescent="0.25">
      <c r="A197" s="80">
        <v>44421</v>
      </c>
      <c r="B197" s="6">
        <v>1</v>
      </c>
      <c r="C197" s="6">
        <f t="shared" si="9"/>
        <v>27</v>
      </c>
      <c r="D197" s="6">
        <v>3</v>
      </c>
      <c r="E197" s="6">
        <f t="shared" si="8"/>
        <v>4893</v>
      </c>
      <c r="F197" s="6">
        <f t="shared" si="7"/>
        <v>4920</v>
      </c>
      <c r="G197" s="91"/>
    </row>
    <row r="198" spans="1:7" hidden="1" x14ac:dyDescent="0.25">
      <c r="A198" s="80">
        <v>44422</v>
      </c>
      <c r="B198" s="6">
        <v>1</v>
      </c>
      <c r="C198" s="6">
        <f t="shared" si="9"/>
        <v>25</v>
      </c>
      <c r="D198" s="6">
        <v>3</v>
      </c>
      <c r="E198" s="6">
        <f t="shared" si="8"/>
        <v>4896</v>
      </c>
      <c r="F198" s="6">
        <f t="shared" si="7"/>
        <v>4921</v>
      </c>
      <c r="G198" s="91"/>
    </row>
    <row r="199" spans="1:7" hidden="1" x14ac:dyDescent="0.25">
      <c r="A199" s="80">
        <v>44423</v>
      </c>
      <c r="B199" s="6">
        <v>3</v>
      </c>
      <c r="C199" s="6">
        <f t="shared" si="9"/>
        <v>27</v>
      </c>
      <c r="D199" s="6">
        <v>1</v>
      </c>
      <c r="E199" s="6">
        <f t="shared" si="8"/>
        <v>4897</v>
      </c>
      <c r="F199" s="6">
        <f t="shared" si="7"/>
        <v>4924</v>
      </c>
      <c r="G199" s="91"/>
    </row>
    <row r="200" spans="1:7" hidden="1" x14ac:dyDescent="0.25">
      <c r="A200" s="80">
        <v>44424</v>
      </c>
      <c r="B200" s="6">
        <v>6</v>
      </c>
      <c r="C200" s="6">
        <f t="shared" si="9"/>
        <v>30</v>
      </c>
      <c r="D200" s="6">
        <v>3</v>
      </c>
      <c r="E200" s="6">
        <f t="shared" si="8"/>
        <v>4900</v>
      </c>
      <c r="F200" s="6">
        <f t="shared" si="7"/>
        <v>4930</v>
      </c>
      <c r="G200" s="91"/>
    </row>
    <row r="201" spans="1:7" hidden="1" x14ac:dyDescent="0.25">
      <c r="A201" s="80">
        <v>44425</v>
      </c>
      <c r="B201" s="6">
        <v>3</v>
      </c>
      <c r="C201" s="6">
        <f t="shared" si="9"/>
        <v>31</v>
      </c>
      <c r="D201" s="6">
        <v>2</v>
      </c>
      <c r="E201" s="6">
        <f t="shared" si="8"/>
        <v>4902</v>
      </c>
      <c r="F201" s="6">
        <f t="shared" si="7"/>
        <v>4933</v>
      </c>
      <c r="G201" s="91"/>
    </row>
    <row r="202" spans="1:7" hidden="1" x14ac:dyDescent="0.25">
      <c r="A202" s="80">
        <v>44426</v>
      </c>
      <c r="B202" s="6">
        <v>9</v>
      </c>
      <c r="C202" s="6">
        <f t="shared" si="9"/>
        <v>37</v>
      </c>
      <c r="D202" s="6">
        <v>3</v>
      </c>
      <c r="E202" s="6">
        <f t="shared" si="8"/>
        <v>4905</v>
      </c>
      <c r="F202" s="6">
        <f t="shared" ref="F202:F213" si="10">E202+C202</f>
        <v>4942</v>
      </c>
      <c r="G202" s="91"/>
    </row>
    <row r="203" spans="1:7" hidden="1" x14ac:dyDescent="0.25">
      <c r="A203" s="80">
        <v>44427</v>
      </c>
      <c r="B203" s="6">
        <v>3</v>
      </c>
      <c r="C203" s="6">
        <f t="shared" si="9"/>
        <v>34</v>
      </c>
      <c r="D203" s="6">
        <v>6</v>
      </c>
      <c r="E203" s="6">
        <f t="shared" ref="E203:E213" si="11">E202+D203</f>
        <v>4911</v>
      </c>
      <c r="F203" s="6">
        <f t="shared" si="10"/>
        <v>4945</v>
      </c>
      <c r="G203" s="91"/>
    </row>
    <row r="204" spans="1:7" hidden="1" x14ac:dyDescent="0.25">
      <c r="A204" s="80">
        <v>44428</v>
      </c>
      <c r="B204" s="6">
        <v>5</v>
      </c>
      <c r="C204" s="6">
        <f t="shared" si="9"/>
        <v>37</v>
      </c>
      <c r="D204" s="6">
        <v>2</v>
      </c>
      <c r="E204" s="6">
        <f t="shared" si="11"/>
        <v>4913</v>
      </c>
      <c r="F204" s="6">
        <f t="shared" si="10"/>
        <v>4950</v>
      </c>
      <c r="G204" s="91"/>
    </row>
    <row r="205" spans="1:7" hidden="1" x14ac:dyDescent="0.25">
      <c r="A205" s="80">
        <v>44429</v>
      </c>
      <c r="B205" s="6">
        <v>3</v>
      </c>
      <c r="C205" s="6">
        <f t="shared" si="9"/>
        <v>36</v>
      </c>
      <c r="D205" s="6">
        <v>4</v>
      </c>
      <c r="E205" s="6">
        <f t="shared" si="11"/>
        <v>4917</v>
      </c>
      <c r="F205" s="6">
        <f t="shared" si="10"/>
        <v>4953</v>
      </c>
      <c r="G205" s="91"/>
    </row>
    <row r="206" spans="1:7" hidden="1" x14ac:dyDescent="0.25">
      <c r="A206" s="80">
        <v>44430</v>
      </c>
      <c r="B206" s="6">
        <v>11</v>
      </c>
      <c r="C206" s="6">
        <f t="shared" si="9"/>
        <v>42</v>
      </c>
      <c r="D206" s="6">
        <v>5</v>
      </c>
      <c r="E206" s="6">
        <f t="shared" si="11"/>
        <v>4922</v>
      </c>
      <c r="F206" s="6">
        <f t="shared" si="10"/>
        <v>4964</v>
      </c>
      <c r="G206" s="91"/>
    </row>
    <row r="207" spans="1:7" hidden="1" x14ac:dyDescent="0.25">
      <c r="A207" s="80">
        <v>44431</v>
      </c>
      <c r="B207" s="6">
        <v>6</v>
      </c>
      <c r="C207" s="6">
        <f t="shared" si="9"/>
        <v>43</v>
      </c>
      <c r="D207" s="6">
        <v>5</v>
      </c>
      <c r="E207" s="6">
        <f t="shared" si="11"/>
        <v>4927</v>
      </c>
      <c r="F207" s="6">
        <f t="shared" si="10"/>
        <v>4970</v>
      </c>
      <c r="G207" s="91"/>
    </row>
    <row r="208" spans="1:7" hidden="1" x14ac:dyDescent="0.25">
      <c r="A208" s="80">
        <v>44432</v>
      </c>
      <c r="B208" s="6">
        <v>4</v>
      </c>
      <c r="C208" s="6">
        <f t="shared" si="9"/>
        <v>41</v>
      </c>
      <c r="D208" s="6">
        <v>6</v>
      </c>
      <c r="E208" s="6">
        <f t="shared" si="11"/>
        <v>4933</v>
      </c>
      <c r="F208" s="6">
        <f t="shared" si="10"/>
        <v>4974</v>
      </c>
      <c r="G208" s="91"/>
    </row>
    <row r="209" spans="1:13" hidden="1" x14ac:dyDescent="0.25">
      <c r="A209" s="80">
        <v>44433</v>
      </c>
      <c r="B209" s="6">
        <v>1</v>
      </c>
      <c r="C209" s="6">
        <f t="shared" si="9"/>
        <v>34</v>
      </c>
      <c r="D209" s="6">
        <v>8</v>
      </c>
      <c r="E209" s="6">
        <f t="shared" si="11"/>
        <v>4941</v>
      </c>
      <c r="F209" s="6">
        <f t="shared" si="10"/>
        <v>4975</v>
      </c>
      <c r="G209" s="91"/>
    </row>
    <row r="210" spans="1:13" hidden="1" x14ac:dyDescent="0.25">
      <c r="A210" s="80">
        <v>44434</v>
      </c>
      <c r="B210" s="6">
        <v>4</v>
      </c>
      <c r="C210" s="6">
        <f t="shared" si="9"/>
        <v>26</v>
      </c>
      <c r="D210" s="6">
        <v>12</v>
      </c>
      <c r="E210" s="6">
        <f t="shared" si="11"/>
        <v>4953</v>
      </c>
      <c r="F210" s="6">
        <f t="shared" si="10"/>
        <v>4979</v>
      </c>
      <c r="G210" s="91"/>
    </row>
    <row r="211" spans="1:13" hidden="1" x14ac:dyDescent="0.25">
      <c r="A211" s="80">
        <v>44435</v>
      </c>
      <c r="B211" s="6">
        <v>0</v>
      </c>
      <c r="C211" s="6">
        <f t="shared" si="9"/>
        <v>23</v>
      </c>
      <c r="D211" s="6">
        <v>3</v>
      </c>
      <c r="E211" s="6">
        <f t="shared" si="11"/>
        <v>4956</v>
      </c>
      <c r="F211" s="6">
        <f t="shared" si="10"/>
        <v>4979</v>
      </c>
      <c r="G211" s="91"/>
    </row>
    <row r="212" spans="1:13" hidden="1" x14ac:dyDescent="0.25">
      <c r="A212" s="80">
        <v>44436</v>
      </c>
      <c r="B212" s="6">
        <v>2</v>
      </c>
      <c r="C212" s="6">
        <f t="shared" ref="C212:C221" si="12">C211-D212+B212</f>
        <v>21</v>
      </c>
      <c r="D212" s="6">
        <v>4</v>
      </c>
      <c r="E212" s="6">
        <f t="shared" si="11"/>
        <v>4960</v>
      </c>
      <c r="F212" s="6">
        <f t="shared" si="10"/>
        <v>4981</v>
      </c>
      <c r="G212" s="91"/>
      <c r="I212" s="95"/>
      <c r="J212" s="95"/>
      <c r="K212" s="95"/>
      <c r="L212" s="95"/>
      <c r="M212" s="95"/>
    </row>
    <row r="213" spans="1:13" hidden="1" x14ac:dyDescent="0.25">
      <c r="A213" s="80">
        <v>44437</v>
      </c>
      <c r="B213" s="6">
        <v>3</v>
      </c>
      <c r="C213" s="6">
        <f t="shared" si="12"/>
        <v>18</v>
      </c>
      <c r="D213" s="6">
        <v>6</v>
      </c>
      <c r="E213" s="6">
        <f t="shared" si="11"/>
        <v>4966</v>
      </c>
      <c r="F213" s="6">
        <f t="shared" si="10"/>
        <v>4984</v>
      </c>
      <c r="G213" s="91"/>
      <c r="I213" s="95"/>
      <c r="J213" s="95"/>
      <c r="K213" s="95"/>
      <c r="L213" s="95"/>
      <c r="M213" s="95"/>
    </row>
    <row r="214" spans="1:13" hidden="1" x14ac:dyDescent="0.25">
      <c r="A214" s="80">
        <v>44438</v>
      </c>
      <c r="B214" s="6">
        <v>5</v>
      </c>
      <c r="C214" s="6">
        <f t="shared" si="12"/>
        <v>17</v>
      </c>
      <c r="D214" s="6">
        <v>6</v>
      </c>
      <c r="E214" s="6">
        <v>4094</v>
      </c>
      <c r="F214" s="6">
        <f>E214+C214+G214</f>
        <v>4907</v>
      </c>
      <c r="G214" s="91">
        <v>796</v>
      </c>
      <c r="I214" s="95"/>
      <c r="J214" s="95"/>
      <c r="K214" s="95"/>
      <c r="L214" s="95"/>
      <c r="M214" s="95"/>
    </row>
    <row r="215" spans="1:13" hidden="1" x14ac:dyDescent="0.25">
      <c r="A215" s="80">
        <v>44439</v>
      </c>
      <c r="B215" s="6">
        <v>5</v>
      </c>
      <c r="C215" s="6">
        <f t="shared" si="12"/>
        <v>18</v>
      </c>
      <c r="D215" s="6">
        <v>4</v>
      </c>
      <c r="E215" s="6">
        <v>4094</v>
      </c>
      <c r="F215" s="54">
        <f>C215+E215+G215</f>
        <v>4978</v>
      </c>
      <c r="G215" s="91">
        <v>866</v>
      </c>
      <c r="I215" s="95"/>
      <c r="J215" s="96"/>
      <c r="K215" s="95"/>
      <c r="L215" s="95"/>
      <c r="M215" s="95"/>
    </row>
    <row r="216" spans="1:13" s="14" customFormat="1" x14ac:dyDescent="0.25">
      <c r="A216" s="93">
        <v>44440</v>
      </c>
      <c r="B216" s="54">
        <v>5</v>
      </c>
      <c r="C216" s="54">
        <f t="shared" si="12"/>
        <v>17</v>
      </c>
      <c r="D216" s="54">
        <v>6</v>
      </c>
      <c r="E216" s="54">
        <v>4146</v>
      </c>
      <c r="F216" s="54">
        <f>C216+E216+G216</f>
        <v>4978</v>
      </c>
      <c r="G216" s="71">
        <v>815</v>
      </c>
      <c r="H216" s="14">
        <f>G216-G217</f>
        <v>176</v>
      </c>
      <c r="I216" s="94"/>
      <c r="J216" s="96"/>
      <c r="K216" s="95"/>
      <c r="L216" s="94"/>
      <c r="M216" s="94"/>
    </row>
    <row r="217" spans="1:13" s="14" customFormat="1" x14ac:dyDescent="0.25">
      <c r="A217" s="93">
        <v>44441</v>
      </c>
      <c r="B217" s="54">
        <v>1</v>
      </c>
      <c r="C217" s="54">
        <f t="shared" si="12"/>
        <v>13</v>
      </c>
      <c r="D217" s="54">
        <v>5</v>
      </c>
      <c r="E217" s="54">
        <v>4331</v>
      </c>
      <c r="F217" s="54">
        <f t="shared" ref="F217:F223" si="13">C217+E217+G217</f>
        <v>4983</v>
      </c>
      <c r="G217" s="71">
        <v>639</v>
      </c>
      <c r="H217" s="14">
        <f t="shared" ref="H217:H237" si="14">G217-G218</f>
        <v>40</v>
      </c>
      <c r="I217" s="94"/>
      <c r="J217" s="96"/>
      <c r="K217" s="95"/>
      <c r="L217" s="94"/>
      <c r="M217" s="94"/>
    </row>
    <row r="218" spans="1:13" x14ac:dyDescent="0.25">
      <c r="A218" s="80">
        <v>44442</v>
      </c>
      <c r="B218" s="6">
        <v>2</v>
      </c>
      <c r="C218" s="6">
        <f t="shared" si="12"/>
        <v>14</v>
      </c>
      <c r="D218" s="6">
        <v>1</v>
      </c>
      <c r="E218" s="6">
        <v>4375</v>
      </c>
      <c r="F218" s="6">
        <f t="shared" si="13"/>
        <v>4988</v>
      </c>
      <c r="G218" s="91">
        <v>599</v>
      </c>
      <c r="H218" s="14">
        <f t="shared" si="14"/>
        <v>58</v>
      </c>
      <c r="I218" s="95"/>
      <c r="J218" s="96"/>
      <c r="K218" s="95"/>
      <c r="L218" s="95"/>
      <c r="M218" s="95"/>
    </row>
    <row r="219" spans="1:13" x14ac:dyDescent="0.25">
      <c r="A219" s="80">
        <v>44443</v>
      </c>
      <c r="B219" s="6">
        <v>3</v>
      </c>
      <c r="C219" s="6">
        <f t="shared" si="12"/>
        <v>15</v>
      </c>
      <c r="D219" s="6">
        <v>2</v>
      </c>
      <c r="E219" s="6">
        <v>4440</v>
      </c>
      <c r="F219" s="6">
        <f t="shared" si="13"/>
        <v>4996</v>
      </c>
      <c r="G219" s="91">
        <v>541</v>
      </c>
      <c r="H219" s="14">
        <f t="shared" si="14"/>
        <v>1</v>
      </c>
      <c r="I219" s="95"/>
      <c r="J219" s="96"/>
      <c r="K219" s="95"/>
      <c r="L219" s="95"/>
      <c r="M219" s="95"/>
    </row>
    <row r="220" spans="1:13" x14ac:dyDescent="0.25">
      <c r="A220" s="80">
        <v>44444</v>
      </c>
      <c r="B220" s="6">
        <v>0</v>
      </c>
      <c r="C220" s="6">
        <f t="shared" si="12"/>
        <v>12</v>
      </c>
      <c r="D220" s="6">
        <v>3</v>
      </c>
      <c r="E220" s="6">
        <v>4442</v>
      </c>
      <c r="F220" s="6">
        <f t="shared" si="13"/>
        <v>4994</v>
      </c>
      <c r="G220" s="91">
        <v>540</v>
      </c>
      <c r="H220" s="14">
        <f t="shared" si="14"/>
        <v>115</v>
      </c>
      <c r="I220" s="95"/>
      <c r="J220" s="96"/>
      <c r="K220" s="95"/>
      <c r="L220" s="95"/>
      <c r="M220" s="95"/>
    </row>
    <row r="221" spans="1:13" x14ac:dyDescent="0.25">
      <c r="A221" s="80">
        <v>44445</v>
      </c>
      <c r="B221" s="6">
        <v>3</v>
      </c>
      <c r="C221" s="6">
        <f t="shared" si="12"/>
        <v>12</v>
      </c>
      <c r="D221" s="6">
        <v>3</v>
      </c>
      <c r="E221" s="6">
        <v>4571</v>
      </c>
      <c r="F221" s="6">
        <f t="shared" si="13"/>
        <v>5008</v>
      </c>
      <c r="G221" s="91">
        <v>425</v>
      </c>
      <c r="H221" s="14">
        <f t="shared" si="14"/>
        <v>157</v>
      </c>
      <c r="I221" s="95"/>
      <c r="J221" s="96"/>
      <c r="K221" s="95"/>
      <c r="L221" s="95"/>
      <c r="M221" s="95"/>
    </row>
    <row r="222" spans="1:13" x14ac:dyDescent="0.25">
      <c r="A222" s="80">
        <v>44446</v>
      </c>
      <c r="B222" s="6">
        <v>6</v>
      </c>
      <c r="C222" s="6">
        <v>20</v>
      </c>
      <c r="D222" s="6">
        <v>3</v>
      </c>
      <c r="E222" s="6">
        <v>4726</v>
      </c>
      <c r="F222" s="6">
        <f t="shared" si="13"/>
        <v>5014</v>
      </c>
      <c r="G222" s="91">
        <v>268</v>
      </c>
      <c r="H222" s="14">
        <f t="shared" si="14"/>
        <v>71</v>
      </c>
      <c r="I222" s="95"/>
      <c r="J222" s="95"/>
      <c r="K222" s="95"/>
      <c r="L222" s="95"/>
      <c r="M222" s="95"/>
    </row>
    <row r="223" spans="1:13" x14ac:dyDescent="0.25">
      <c r="A223" s="80">
        <v>44447</v>
      </c>
      <c r="B223" s="6">
        <v>2</v>
      </c>
      <c r="C223" s="6">
        <v>12</v>
      </c>
      <c r="D223" s="6">
        <v>10</v>
      </c>
      <c r="E223" s="6">
        <v>4832</v>
      </c>
      <c r="F223" s="6">
        <f t="shared" si="13"/>
        <v>5041</v>
      </c>
      <c r="G223" s="91">
        <v>197</v>
      </c>
      <c r="H223" s="14">
        <f t="shared" si="14"/>
        <v>6</v>
      </c>
      <c r="I223" s="95"/>
      <c r="J223" s="95"/>
      <c r="K223" s="95"/>
      <c r="L223" s="95"/>
      <c r="M223" s="95"/>
    </row>
    <row r="224" spans="1:13" x14ac:dyDescent="0.25">
      <c r="A224" s="80">
        <v>44448</v>
      </c>
      <c r="B224" s="6">
        <v>2</v>
      </c>
      <c r="C224" s="6">
        <v>8</v>
      </c>
      <c r="D224" s="6">
        <v>6</v>
      </c>
      <c r="E224" s="6">
        <v>4854</v>
      </c>
      <c r="F224" s="6">
        <f t="shared" ref="F224:F255" si="15">C224+E224+G224</f>
        <v>5053</v>
      </c>
      <c r="G224" s="91">
        <v>191</v>
      </c>
      <c r="H224" s="14">
        <f t="shared" si="14"/>
        <v>-18</v>
      </c>
      <c r="I224" s="95"/>
      <c r="J224" s="95"/>
      <c r="K224" s="95"/>
      <c r="L224" s="95"/>
      <c r="M224" s="95"/>
    </row>
    <row r="225" spans="1:13" x14ac:dyDescent="0.25">
      <c r="A225" s="80">
        <v>44449</v>
      </c>
      <c r="B225" s="6">
        <v>5</v>
      </c>
      <c r="C225" s="54">
        <v>11</v>
      </c>
      <c r="D225" s="6">
        <v>2</v>
      </c>
      <c r="E225" s="54">
        <v>4864</v>
      </c>
      <c r="F225" s="54">
        <f t="shared" si="15"/>
        <v>5084</v>
      </c>
      <c r="G225" s="6">
        <v>209</v>
      </c>
      <c r="H225" s="14">
        <f t="shared" si="14"/>
        <v>-25</v>
      </c>
      <c r="I225" s="95"/>
      <c r="J225" s="95"/>
      <c r="K225" s="95"/>
      <c r="L225" s="95"/>
      <c r="M225" s="95"/>
    </row>
    <row r="226" spans="1:13" x14ac:dyDescent="0.25">
      <c r="A226" s="80">
        <v>44450</v>
      </c>
      <c r="B226" s="6">
        <v>1</v>
      </c>
      <c r="C226" s="54">
        <v>11</v>
      </c>
      <c r="D226" s="6">
        <v>1</v>
      </c>
      <c r="E226" s="54">
        <v>4872</v>
      </c>
      <c r="F226" s="54">
        <f t="shared" si="15"/>
        <v>5117</v>
      </c>
      <c r="G226" s="6">
        <v>234</v>
      </c>
      <c r="H226" s="14">
        <f t="shared" si="14"/>
        <v>0</v>
      </c>
      <c r="I226" s="95"/>
      <c r="L226" s="95"/>
      <c r="M226" s="95"/>
    </row>
    <row r="227" spans="1:13" x14ac:dyDescent="0.25">
      <c r="A227" s="80">
        <v>44451</v>
      </c>
      <c r="B227" s="6">
        <v>1</v>
      </c>
      <c r="C227" s="54">
        <v>10</v>
      </c>
      <c r="D227" s="6">
        <v>2</v>
      </c>
      <c r="E227" s="54">
        <v>4873</v>
      </c>
      <c r="F227" s="54">
        <f t="shared" si="15"/>
        <v>5117</v>
      </c>
      <c r="G227" s="6">
        <v>234</v>
      </c>
      <c r="H227" s="14">
        <f t="shared" si="14"/>
        <v>72</v>
      </c>
      <c r="I227" s="95"/>
      <c r="J227" s="102"/>
      <c r="K227" s="101"/>
      <c r="M227" s="100"/>
    </row>
    <row r="228" spans="1:13" x14ac:dyDescent="0.25">
      <c r="A228" s="80">
        <v>44452</v>
      </c>
      <c r="B228" s="6">
        <v>4</v>
      </c>
      <c r="C228" s="54">
        <v>11</v>
      </c>
      <c r="D228" s="6">
        <v>3</v>
      </c>
      <c r="E228" s="54">
        <v>4967</v>
      </c>
      <c r="F228" s="54">
        <f t="shared" si="15"/>
        <v>5140</v>
      </c>
      <c r="G228" s="6">
        <v>162</v>
      </c>
      <c r="H228" s="14">
        <f t="shared" si="14"/>
        <v>-2</v>
      </c>
      <c r="I228" s="95"/>
      <c r="J228" s="103"/>
      <c r="K228" s="104"/>
    </row>
    <row r="229" spans="1:13" x14ac:dyDescent="0.25">
      <c r="A229" s="80">
        <v>44453</v>
      </c>
      <c r="B229" s="6">
        <v>3</v>
      </c>
      <c r="C229" s="54">
        <v>11</v>
      </c>
      <c r="D229" s="6">
        <v>3</v>
      </c>
      <c r="E229" s="54">
        <v>4982</v>
      </c>
      <c r="F229" s="54">
        <f t="shared" si="15"/>
        <v>5157</v>
      </c>
      <c r="G229" s="6">
        <v>164</v>
      </c>
      <c r="H229" s="14">
        <f t="shared" si="14"/>
        <v>0</v>
      </c>
      <c r="I229" s="95"/>
      <c r="J229" s="103"/>
      <c r="K229" s="104"/>
    </row>
    <row r="230" spans="1:13" x14ac:dyDescent="0.25">
      <c r="A230" s="80">
        <v>44454</v>
      </c>
      <c r="B230" s="6">
        <v>1</v>
      </c>
      <c r="C230" s="54">
        <v>9</v>
      </c>
      <c r="D230" s="6">
        <v>3</v>
      </c>
      <c r="E230" s="54">
        <v>4989</v>
      </c>
      <c r="F230" s="54">
        <f t="shared" si="15"/>
        <v>5162</v>
      </c>
      <c r="G230" s="6">
        <v>164</v>
      </c>
      <c r="H230" s="14">
        <f t="shared" si="14"/>
        <v>1</v>
      </c>
      <c r="I230" s="95"/>
      <c r="J230" s="103"/>
      <c r="K230" s="104"/>
      <c r="M230" s="100"/>
    </row>
    <row r="231" spans="1:13" x14ac:dyDescent="0.25">
      <c r="A231" s="80">
        <v>44455</v>
      </c>
      <c r="B231" s="6">
        <v>2</v>
      </c>
      <c r="C231" s="54">
        <v>9</v>
      </c>
      <c r="D231" s="6">
        <v>3</v>
      </c>
      <c r="E231" s="54">
        <v>4996</v>
      </c>
      <c r="F231" s="54">
        <f t="shared" si="15"/>
        <v>5168</v>
      </c>
      <c r="G231" s="6">
        <v>163</v>
      </c>
      <c r="H231" s="14">
        <f t="shared" si="14"/>
        <v>0</v>
      </c>
      <c r="I231" s="95"/>
      <c r="J231" s="105"/>
      <c r="K231" s="106"/>
    </row>
    <row r="232" spans="1:13" x14ac:dyDescent="0.25">
      <c r="A232" s="80">
        <v>44456</v>
      </c>
      <c r="B232" s="6">
        <v>5</v>
      </c>
      <c r="C232" s="54">
        <v>11</v>
      </c>
      <c r="D232" s="6">
        <v>3</v>
      </c>
      <c r="E232" s="54">
        <v>5007</v>
      </c>
      <c r="F232" s="54">
        <f t="shared" si="15"/>
        <v>5181</v>
      </c>
      <c r="G232" s="6">
        <v>163</v>
      </c>
      <c r="H232" s="14">
        <f t="shared" si="14"/>
        <v>-17</v>
      </c>
      <c r="I232" s="95"/>
      <c r="M232" s="100"/>
    </row>
    <row r="233" spans="1:13" x14ac:dyDescent="0.25">
      <c r="A233" s="80">
        <v>44457</v>
      </c>
      <c r="B233" s="6">
        <v>3</v>
      </c>
      <c r="C233" s="54">
        <v>13</v>
      </c>
      <c r="D233" s="6">
        <v>1</v>
      </c>
      <c r="E233" s="54">
        <v>5008</v>
      </c>
      <c r="F233" s="54">
        <f t="shared" si="15"/>
        <v>5201</v>
      </c>
      <c r="G233" s="6">
        <v>180</v>
      </c>
      <c r="H233" s="14">
        <f t="shared" si="14"/>
        <v>0</v>
      </c>
      <c r="I233" s="95"/>
    </row>
    <row r="234" spans="1:13" x14ac:dyDescent="0.25">
      <c r="A234" s="80">
        <v>44458</v>
      </c>
      <c r="B234" s="6">
        <v>0</v>
      </c>
      <c r="C234" s="54">
        <v>11</v>
      </c>
      <c r="D234" s="6">
        <v>2</v>
      </c>
      <c r="E234" s="54">
        <v>5009</v>
      </c>
      <c r="F234" s="54">
        <f t="shared" si="15"/>
        <v>5200</v>
      </c>
      <c r="G234" s="6">
        <v>180</v>
      </c>
      <c r="H234" s="14">
        <f t="shared" si="14"/>
        <v>11</v>
      </c>
    </row>
    <row r="235" spans="1:13" x14ac:dyDescent="0.25">
      <c r="A235" s="80">
        <v>44459</v>
      </c>
      <c r="B235" s="6">
        <v>4</v>
      </c>
      <c r="C235" s="54">
        <v>12</v>
      </c>
      <c r="D235" s="6">
        <v>3</v>
      </c>
      <c r="E235" s="54">
        <v>5021</v>
      </c>
      <c r="F235" s="54">
        <f t="shared" si="15"/>
        <v>5202</v>
      </c>
      <c r="G235" s="6">
        <v>169</v>
      </c>
      <c r="H235" s="14">
        <f t="shared" si="14"/>
        <v>2</v>
      </c>
      <c r="M235" s="100"/>
    </row>
    <row r="236" spans="1:13" x14ac:dyDescent="0.25">
      <c r="A236" s="80">
        <v>44460</v>
      </c>
      <c r="B236" s="6">
        <v>3</v>
      </c>
      <c r="C236" s="54">
        <v>14</v>
      </c>
      <c r="D236" s="6">
        <v>1</v>
      </c>
      <c r="E236" s="54">
        <v>5028</v>
      </c>
      <c r="F236" s="54">
        <f t="shared" si="15"/>
        <v>5209</v>
      </c>
      <c r="G236" s="6">
        <v>167</v>
      </c>
      <c r="H236" s="14">
        <f t="shared" si="14"/>
        <v>9</v>
      </c>
    </row>
    <row r="237" spans="1:13" x14ac:dyDescent="0.25">
      <c r="A237" s="80">
        <v>44461</v>
      </c>
      <c r="B237" s="6">
        <v>1</v>
      </c>
      <c r="C237" s="54">
        <v>13</v>
      </c>
      <c r="D237" s="6">
        <v>2</v>
      </c>
      <c r="E237" s="54">
        <v>5050</v>
      </c>
      <c r="F237" s="54">
        <f t="shared" si="15"/>
        <v>5221</v>
      </c>
      <c r="G237" s="6">
        <v>158</v>
      </c>
      <c r="H237" s="14">
        <f t="shared" si="14"/>
        <v>32</v>
      </c>
      <c r="J237" s="95"/>
      <c r="K237" s="95"/>
      <c r="L237" s="95"/>
      <c r="M237" s="95"/>
    </row>
    <row r="238" spans="1:13" x14ac:dyDescent="0.25">
      <c r="A238" s="80">
        <v>44462</v>
      </c>
      <c r="B238" s="6">
        <v>3</v>
      </c>
      <c r="C238" s="54">
        <v>8</v>
      </c>
      <c r="D238" s="6">
        <v>7</v>
      </c>
      <c r="E238" s="54">
        <v>5092</v>
      </c>
      <c r="F238" s="54">
        <f t="shared" si="15"/>
        <v>5226</v>
      </c>
      <c r="G238" s="6">
        <v>126</v>
      </c>
      <c r="H238">
        <f t="shared" ref="H238:H250" si="16">G237-G238</f>
        <v>32</v>
      </c>
      <c r="J238" s="95"/>
      <c r="K238" s="96"/>
      <c r="L238" s="95"/>
      <c r="M238" s="95"/>
    </row>
    <row r="239" spans="1:13" x14ac:dyDescent="0.25">
      <c r="A239" s="80">
        <v>44463</v>
      </c>
      <c r="B239" s="6">
        <v>3</v>
      </c>
      <c r="C239" s="54">
        <v>7</v>
      </c>
      <c r="D239" s="6">
        <v>4</v>
      </c>
      <c r="E239" s="54">
        <v>5112</v>
      </c>
      <c r="F239" s="54">
        <f t="shared" si="15"/>
        <v>5232</v>
      </c>
      <c r="G239" s="6">
        <v>113</v>
      </c>
      <c r="H239">
        <f t="shared" si="16"/>
        <v>13</v>
      </c>
      <c r="J239" s="95"/>
      <c r="K239" s="96"/>
      <c r="L239" s="95"/>
      <c r="M239" s="95"/>
    </row>
    <row r="240" spans="1:13" x14ac:dyDescent="0.25">
      <c r="A240" s="80">
        <v>44464</v>
      </c>
      <c r="B240" s="6">
        <v>1</v>
      </c>
      <c r="C240" s="54">
        <v>7</v>
      </c>
      <c r="D240" s="6">
        <v>1</v>
      </c>
      <c r="E240" s="54">
        <v>5148</v>
      </c>
      <c r="F240" s="54">
        <f t="shared" si="15"/>
        <v>5252</v>
      </c>
      <c r="G240" s="6">
        <v>97</v>
      </c>
      <c r="H240">
        <f t="shared" si="16"/>
        <v>16</v>
      </c>
      <c r="J240" s="95"/>
      <c r="K240" s="96"/>
      <c r="L240" s="95"/>
      <c r="M240" s="95"/>
    </row>
    <row r="241" spans="1:13" x14ac:dyDescent="0.25">
      <c r="A241" s="80">
        <v>44465</v>
      </c>
      <c r="B241" s="6">
        <v>1</v>
      </c>
      <c r="C241" s="54">
        <v>8</v>
      </c>
      <c r="D241" s="6">
        <v>0</v>
      </c>
      <c r="E241" s="54">
        <v>5148</v>
      </c>
      <c r="F241" s="54">
        <f t="shared" si="15"/>
        <v>5313</v>
      </c>
      <c r="G241" s="6">
        <v>157</v>
      </c>
      <c r="H241">
        <f t="shared" si="16"/>
        <v>-60</v>
      </c>
      <c r="J241" s="95"/>
      <c r="K241" s="96"/>
      <c r="L241" s="95"/>
      <c r="M241" s="95"/>
    </row>
    <row r="242" spans="1:13" x14ac:dyDescent="0.25">
      <c r="A242" s="80">
        <v>44466</v>
      </c>
      <c r="B242" s="6">
        <v>5</v>
      </c>
      <c r="C242" s="54">
        <v>12</v>
      </c>
      <c r="D242" s="6">
        <v>1</v>
      </c>
      <c r="E242" s="54">
        <v>5162</v>
      </c>
      <c r="F242" s="54">
        <f t="shared" si="15"/>
        <v>5316</v>
      </c>
      <c r="G242" s="6">
        <v>142</v>
      </c>
      <c r="H242">
        <f t="shared" si="16"/>
        <v>15</v>
      </c>
      <c r="I242" s="95"/>
      <c r="J242" s="95"/>
      <c r="K242" s="96"/>
      <c r="L242" s="95"/>
      <c r="M242" s="95"/>
    </row>
    <row r="243" spans="1:13" x14ac:dyDescent="0.25">
      <c r="A243" s="80">
        <v>44467</v>
      </c>
      <c r="B243" s="6">
        <v>2</v>
      </c>
      <c r="C243" s="54">
        <v>12</v>
      </c>
      <c r="D243" s="6">
        <v>2</v>
      </c>
      <c r="E243" s="54">
        <v>5176</v>
      </c>
      <c r="F243" s="54">
        <f t="shared" si="15"/>
        <v>5394</v>
      </c>
      <c r="G243" s="6">
        <v>206</v>
      </c>
      <c r="H243">
        <f t="shared" si="16"/>
        <v>-64</v>
      </c>
      <c r="I243" s="95"/>
      <c r="J243" s="95"/>
      <c r="K243" s="95"/>
      <c r="L243" s="95"/>
      <c r="M243" s="95"/>
    </row>
    <row r="244" spans="1:13" x14ac:dyDescent="0.25">
      <c r="A244" s="80">
        <v>44468</v>
      </c>
      <c r="B244" s="6">
        <v>0</v>
      </c>
      <c r="C244" s="54">
        <v>11</v>
      </c>
      <c r="D244" s="6">
        <v>1</v>
      </c>
      <c r="E244" s="54">
        <v>5186</v>
      </c>
      <c r="F244" s="54">
        <f t="shared" si="15"/>
        <v>5465</v>
      </c>
      <c r="G244" s="6">
        <v>268</v>
      </c>
      <c r="H244">
        <f t="shared" si="16"/>
        <v>-62</v>
      </c>
      <c r="I244" s="95"/>
      <c r="J244" s="95"/>
      <c r="K244" s="95"/>
      <c r="L244" s="95"/>
      <c r="M244" s="95"/>
    </row>
    <row r="245" spans="1:13" x14ac:dyDescent="0.25">
      <c r="A245" s="80">
        <v>44469</v>
      </c>
      <c r="B245" s="6">
        <v>0</v>
      </c>
      <c r="C245" s="54">
        <v>10</v>
      </c>
      <c r="D245" s="6">
        <v>1</v>
      </c>
      <c r="E245" s="54">
        <v>5195</v>
      </c>
      <c r="F245" s="54">
        <f t="shared" si="15"/>
        <v>5501</v>
      </c>
      <c r="G245" s="6">
        <v>296</v>
      </c>
      <c r="H245">
        <f t="shared" si="16"/>
        <v>-28</v>
      </c>
      <c r="I245" s="95"/>
      <c r="J245" s="96"/>
      <c r="K245" s="95"/>
      <c r="L245" s="95"/>
      <c r="M245" s="95"/>
    </row>
    <row r="246" spans="1:13" x14ac:dyDescent="0.25">
      <c r="A246" s="80">
        <v>44470</v>
      </c>
      <c r="B246" s="6">
        <v>3</v>
      </c>
      <c r="C246" s="54">
        <v>9</v>
      </c>
      <c r="D246" s="6">
        <v>4</v>
      </c>
      <c r="E246" s="54">
        <v>5198</v>
      </c>
      <c r="F246" s="54">
        <f t="shared" si="15"/>
        <v>5573</v>
      </c>
      <c r="G246" s="6">
        <v>366</v>
      </c>
      <c r="H246">
        <f t="shared" si="16"/>
        <v>-70</v>
      </c>
      <c r="I246" s="95"/>
      <c r="J246" s="96"/>
      <c r="K246" s="95"/>
      <c r="L246" s="95"/>
      <c r="M246" s="95"/>
    </row>
    <row r="247" spans="1:13" x14ac:dyDescent="0.25">
      <c r="A247" s="80">
        <v>44471</v>
      </c>
      <c r="B247" s="6">
        <v>2</v>
      </c>
      <c r="C247" s="54">
        <v>8</v>
      </c>
      <c r="D247" s="6">
        <v>3</v>
      </c>
      <c r="E247" s="54">
        <v>5205</v>
      </c>
      <c r="F247" s="54">
        <f t="shared" si="15"/>
        <v>5618</v>
      </c>
      <c r="G247" s="6">
        <v>405</v>
      </c>
      <c r="H247">
        <f t="shared" si="16"/>
        <v>-39</v>
      </c>
      <c r="I247" s="95"/>
      <c r="J247" s="96"/>
      <c r="K247" s="95"/>
      <c r="L247" s="95"/>
      <c r="M247" s="95"/>
    </row>
    <row r="248" spans="1:13" x14ac:dyDescent="0.25">
      <c r="A248" s="80">
        <v>44472</v>
      </c>
      <c r="B248" s="6">
        <v>1</v>
      </c>
      <c r="C248" s="54">
        <v>7</v>
      </c>
      <c r="D248" s="6">
        <v>2</v>
      </c>
      <c r="E248" s="54">
        <v>5206</v>
      </c>
      <c r="F248" s="54">
        <f t="shared" si="15"/>
        <v>5618</v>
      </c>
      <c r="G248" s="6">
        <v>405</v>
      </c>
      <c r="H248">
        <f t="shared" si="16"/>
        <v>0</v>
      </c>
      <c r="I248" s="95"/>
      <c r="M248" s="95"/>
    </row>
    <row r="249" spans="1:13" x14ac:dyDescent="0.25">
      <c r="A249" s="80">
        <v>44473</v>
      </c>
      <c r="B249" s="6">
        <v>3</v>
      </c>
      <c r="C249" s="54">
        <f t="shared" ref="C249:C286" si="17">C248+B249-D249</f>
        <v>10</v>
      </c>
      <c r="D249" s="6">
        <v>0</v>
      </c>
      <c r="E249" s="54">
        <v>5212</v>
      </c>
      <c r="F249" s="54">
        <f t="shared" si="15"/>
        <v>5636</v>
      </c>
      <c r="G249" s="6">
        <v>414</v>
      </c>
      <c r="H249">
        <f t="shared" si="16"/>
        <v>-9</v>
      </c>
      <c r="I249" s="95"/>
      <c r="M249" s="95"/>
    </row>
    <row r="250" spans="1:13" x14ac:dyDescent="0.25">
      <c r="A250" s="80">
        <v>44474</v>
      </c>
      <c r="B250" s="6">
        <v>0</v>
      </c>
      <c r="C250" s="54">
        <f t="shared" si="17"/>
        <v>7</v>
      </c>
      <c r="D250" s="6">
        <v>3</v>
      </c>
      <c r="E250" s="54">
        <v>5223</v>
      </c>
      <c r="F250" s="54">
        <f t="shared" si="15"/>
        <v>5693</v>
      </c>
      <c r="G250" s="6">
        <v>463</v>
      </c>
      <c r="H250">
        <f t="shared" si="16"/>
        <v>-49</v>
      </c>
      <c r="I250" s="95"/>
      <c r="M250" s="107"/>
    </row>
    <row r="251" spans="1:13" x14ac:dyDescent="0.25">
      <c r="A251" s="80">
        <v>44475</v>
      </c>
      <c r="B251" s="6">
        <v>2</v>
      </c>
      <c r="C251" s="54">
        <f t="shared" si="17"/>
        <v>9</v>
      </c>
      <c r="D251" s="6">
        <v>0</v>
      </c>
      <c r="E251" s="54">
        <v>5224</v>
      </c>
      <c r="F251" s="54">
        <f t="shared" si="15"/>
        <v>5731</v>
      </c>
      <c r="G251" s="6">
        <v>498</v>
      </c>
      <c r="H251">
        <f t="shared" ref="H251:H278" si="18">G250-G251</f>
        <v>-35</v>
      </c>
      <c r="I251" s="95"/>
    </row>
    <row r="252" spans="1:13" x14ac:dyDescent="0.25">
      <c r="A252" s="80">
        <v>44476</v>
      </c>
      <c r="B252" s="6">
        <v>2</v>
      </c>
      <c r="C252" s="54">
        <f t="shared" si="17"/>
        <v>7</v>
      </c>
      <c r="D252" s="6">
        <v>4</v>
      </c>
      <c r="E252" s="54">
        <v>5229</v>
      </c>
      <c r="F252" s="54">
        <f t="shared" si="15"/>
        <v>5786</v>
      </c>
      <c r="G252" s="6">
        <v>550</v>
      </c>
      <c r="H252">
        <f t="shared" si="18"/>
        <v>-52</v>
      </c>
    </row>
    <row r="253" spans="1:13" x14ac:dyDescent="0.25">
      <c r="A253" s="80">
        <v>44477</v>
      </c>
      <c r="B253" s="6">
        <v>1</v>
      </c>
      <c r="C253" s="54">
        <f t="shared" si="17"/>
        <v>7</v>
      </c>
      <c r="D253" s="6">
        <v>1</v>
      </c>
      <c r="E253" s="54">
        <v>5237</v>
      </c>
      <c r="F253" s="54">
        <f t="shared" si="15"/>
        <v>5809</v>
      </c>
      <c r="G253" s="6">
        <v>565</v>
      </c>
      <c r="H253">
        <f t="shared" si="18"/>
        <v>-15</v>
      </c>
    </row>
    <row r="254" spans="1:13" x14ac:dyDescent="0.25">
      <c r="A254" s="80">
        <v>44478</v>
      </c>
      <c r="B254" s="6">
        <v>3</v>
      </c>
      <c r="C254" s="54">
        <f t="shared" si="17"/>
        <v>10</v>
      </c>
      <c r="D254" s="6">
        <v>0</v>
      </c>
      <c r="E254" s="54">
        <v>5311</v>
      </c>
      <c r="F254" s="54">
        <f t="shared" si="15"/>
        <v>5822</v>
      </c>
      <c r="G254" s="6">
        <v>501</v>
      </c>
      <c r="H254">
        <f t="shared" si="18"/>
        <v>64</v>
      </c>
    </row>
    <row r="255" spans="1:13" x14ac:dyDescent="0.25">
      <c r="A255" s="80">
        <v>44479</v>
      </c>
      <c r="B255" s="6">
        <v>0</v>
      </c>
      <c r="C255" s="54">
        <f t="shared" si="17"/>
        <v>9</v>
      </c>
      <c r="D255" s="6">
        <v>1</v>
      </c>
      <c r="E255" s="54">
        <v>5311</v>
      </c>
      <c r="F255" s="54">
        <f t="shared" si="15"/>
        <v>5823</v>
      </c>
      <c r="G255" s="6">
        <v>503</v>
      </c>
      <c r="H255">
        <f t="shared" si="18"/>
        <v>-2</v>
      </c>
    </row>
    <row r="256" spans="1:13" x14ac:dyDescent="0.25">
      <c r="A256" s="80">
        <v>44480</v>
      </c>
      <c r="B256" s="6">
        <v>1</v>
      </c>
      <c r="C256" s="54">
        <f t="shared" si="17"/>
        <v>10</v>
      </c>
      <c r="D256" s="6">
        <v>0</v>
      </c>
      <c r="E256" s="54">
        <v>5319</v>
      </c>
      <c r="F256" s="54">
        <f t="shared" ref="F256:F286" si="19">C256+E256+G256</f>
        <v>5824</v>
      </c>
      <c r="G256" s="6">
        <v>495</v>
      </c>
      <c r="H256">
        <f t="shared" si="18"/>
        <v>8</v>
      </c>
    </row>
    <row r="257" spans="1:13" x14ac:dyDescent="0.25">
      <c r="A257" s="80">
        <v>44481</v>
      </c>
      <c r="B257" s="6">
        <v>0</v>
      </c>
      <c r="C257" s="54">
        <f t="shared" si="17"/>
        <v>8</v>
      </c>
      <c r="D257" s="6">
        <v>2</v>
      </c>
      <c r="E257" s="54">
        <v>5393</v>
      </c>
      <c r="F257" s="54">
        <f t="shared" si="19"/>
        <v>5833</v>
      </c>
      <c r="G257" s="6">
        <v>432</v>
      </c>
      <c r="H257">
        <f t="shared" si="18"/>
        <v>63</v>
      </c>
    </row>
    <row r="258" spans="1:13" x14ac:dyDescent="0.25">
      <c r="A258" s="80">
        <v>44482</v>
      </c>
      <c r="B258" s="6">
        <v>1</v>
      </c>
      <c r="C258" s="54">
        <f t="shared" si="17"/>
        <v>7</v>
      </c>
      <c r="D258" s="6">
        <v>2</v>
      </c>
      <c r="E258" s="54">
        <v>5393</v>
      </c>
      <c r="F258" s="54">
        <f t="shared" si="19"/>
        <v>5833</v>
      </c>
      <c r="G258" s="6">
        <v>433</v>
      </c>
      <c r="H258">
        <f t="shared" si="18"/>
        <v>-1</v>
      </c>
    </row>
    <row r="259" spans="1:13" x14ac:dyDescent="0.25">
      <c r="A259" s="80">
        <v>44483</v>
      </c>
      <c r="B259" s="6">
        <v>2</v>
      </c>
      <c r="C259" s="54">
        <f t="shared" si="17"/>
        <v>8</v>
      </c>
      <c r="D259" s="6">
        <v>1</v>
      </c>
      <c r="E259" s="54">
        <v>5393</v>
      </c>
      <c r="F259" s="54">
        <f t="shared" si="19"/>
        <v>5835</v>
      </c>
      <c r="G259" s="6">
        <v>434</v>
      </c>
      <c r="H259">
        <f t="shared" si="18"/>
        <v>-1</v>
      </c>
    </row>
    <row r="260" spans="1:13" x14ac:dyDescent="0.25">
      <c r="A260" s="80">
        <v>44484</v>
      </c>
      <c r="B260" s="6">
        <v>0</v>
      </c>
      <c r="C260" s="54">
        <f t="shared" si="17"/>
        <v>7</v>
      </c>
      <c r="D260" s="6">
        <v>1</v>
      </c>
      <c r="E260" s="54">
        <v>5393</v>
      </c>
      <c r="F260" s="54">
        <f t="shared" si="19"/>
        <v>5835</v>
      </c>
      <c r="G260" s="6">
        <v>435</v>
      </c>
      <c r="H260">
        <f t="shared" si="18"/>
        <v>-1</v>
      </c>
    </row>
    <row r="261" spans="1:13" x14ac:dyDescent="0.25">
      <c r="A261" s="80">
        <v>44485</v>
      </c>
      <c r="B261" s="6">
        <v>2</v>
      </c>
      <c r="C261" s="54">
        <f t="shared" si="17"/>
        <v>8</v>
      </c>
      <c r="D261" s="6">
        <v>1</v>
      </c>
      <c r="E261" s="54">
        <v>5616</v>
      </c>
      <c r="F261" s="54">
        <f t="shared" si="19"/>
        <v>5838</v>
      </c>
      <c r="G261" s="6">
        <v>214</v>
      </c>
      <c r="H261">
        <f t="shared" si="18"/>
        <v>221</v>
      </c>
    </row>
    <row r="262" spans="1:13" x14ac:dyDescent="0.25">
      <c r="A262" s="80">
        <v>44486</v>
      </c>
      <c r="B262" s="6">
        <v>1</v>
      </c>
      <c r="C262" s="54">
        <f t="shared" si="17"/>
        <v>8</v>
      </c>
      <c r="D262" s="6">
        <v>1</v>
      </c>
      <c r="E262" s="54">
        <v>5617</v>
      </c>
      <c r="F262" s="54">
        <f t="shared" si="19"/>
        <v>5838</v>
      </c>
      <c r="G262" s="6">
        <v>213</v>
      </c>
      <c r="H262">
        <f t="shared" si="18"/>
        <v>1</v>
      </c>
    </row>
    <row r="263" spans="1:13" x14ac:dyDescent="0.25">
      <c r="A263" s="80">
        <v>44487</v>
      </c>
      <c r="B263" s="6">
        <v>3</v>
      </c>
      <c r="C263" s="54">
        <f t="shared" si="17"/>
        <v>11</v>
      </c>
      <c r="D263" s="6">
        <v>0</v>
      </c>
      <c r="E263" s="54">
        <v>5686</v>
      </c>
      <c r="F263" s="54">
        <f t="shared" si="19"/>
        <v>5841</v>
      </c>
      <c r="G263" s="6">
        <v>144</v>
      </c>
      <c r="H263">
        <f t="shared" si="18"/>
        <v>69</v>
      </c>
    </row>
    <row r="264" spans="1:13" x14ac:dyDescent="0.25">
      <c r="A264" s="80">
        <v>44488</v>
      </c>
      <c r="B264" s="6">
        <v>0</v>
      </c>
      <c r="C264" s="54">
        <f t="shared" si="17"/>
        <v>10</v>
      </c>
      <c r="D264" s="6">
        <v>1</v>
      </c>
      <c r="E264" s="54">
        <v>5714</v>
      </c>
      <c r="F264" s="54">
        <f t="shared" si="19"/>
        <v>5843</v>
      </c>
      <c r="G264" s="6">
        <v>119</v>
      </c>
      <c r="H264">
        <f t="shared" si="18"/>
        <v>25</v>
      </c>
    </row>
    <row r="265" spans="1:13" x14ac:dyDescent="0.25">
      <c r="A265" s="80">
        <v>44489</v>
      </c>
      <c r="B265" s="6">
        <v>0</v>
      </c>
      <c r="C265" s="54">
        <f t="shared" si="17"/>
        <v>8</v>
      </c>
      <c r="D265" s="6">
        <v>2</v>
      </c>
      <c r="E265" s="54">
        <v>5759</v>
      </c>
      <c r="F265" s="54">
        <f t="shared" si="19"/>
        <v>5840</v>
      </c>
      <c r="G265" s="6">
        <v>73</v>
      </c>
      <c r="H265">
        <f t="shared" si="18"/>
        <v>46</v>
      </c>
      <c r="M265" s="100"/>
    </row>
    <row r="266" spans="1:13" x14ac:dyDescent="0.25">
      <c r="A266" s="80">
        <v>44490</v>
      </c>
      <c r="B266" s="6">
        <v>15</v>
      </c>
      <c r="C266" s="54">
        <f t="shared" si="17"/>
        <v>19</v>
      </c>
      <c r="D266" s="6">
        <v>4</v>
      </c>
      <c r="E266" s="54">
        <v>5790</v>
      </c>
      <c r="F266" s="54">
        <f t="shared" si="19"/>
        <v>5855</v>
      </c>
      <c r="G266" s="6">
        <v>46</v>
      </c>
      <c r="H266">
        <f t="shared" si="18"/>
        <v>27</v>
      </c>
    </row>
    <row r="267" spans="1:13" x14ac:dyDescent="0.25">
      <c r="A267" s="80">
        <v>44491</v>
      </c>
      <c r="B267" s="6">
        <v>1</v>
      </c>
      <c r="C267" s="54">
        <f t="shared" si="17"/>
        <v>5</v>
      </c>
      <c r="D267" s="6">
        <v>15</v>
      </c>
      <c r="E267" s="54">
        <v>5805</v>
      </c>
      <c r="F267" s="54">
        <f t="shared" si="19"/>
        <v>5858</v>
      </c>
      <c r="G267" s="6">
        <v>48</v>
      </c>
      <c r="H267">
        <f t="shared" si="18"/>
        <v>-2</v>
      </c>
    </row>
    <row r="268" spans="1:13" x14ac:dyDescent="0.25">
      <c r="A268" s="80">
        <v>44492</v>
      </c>
      <c r="B268" s="6">
        <v>0</v>
      </c>
      <c r="C268" s="54">
        <f t="shared" si="17"/>
        <v>4</v>
      </c>
      <c r="D268" s="6">
        <v>1</v>
      </c>
      <c r="E268" s="54">
        <v>5834</v>
      </c>
      <c r="F268" s="54">
        <f t="shared" si="19"/>
        <v>5856</v>
      </c>
      <c r="G268" s="6">
        <v>18</v>
      </c>
      <c r="H268">
        <f t="shared" si="18"/>
        <v>30</v>
      </c>
    </row>
    <row r="269" spans="1:13" x14ac:dyDescent="0.25">
      <c r="A269" s="80">
        <v>44493</v>
      </c>
      <c r="B269" s="6">
        <v>0</v>
      </c>
      <c r="C269" s="54">
        <f t="shared" si="17"/>
        <v>3</v>
      </c>
      <c r="D269" s="6">
        <v>1</v>
      </c>
      <c r="E269" s="54">
        <v>5835</v>
      </c>
      <c r="F269" s="54">
        <f t="shared" si="19"/>
        <v>5856</v>
      </c>
      <c r="G269" s="6">
        <v>18</v>
      </c>
      <c r="H269">
        <f t="shared" si="18"/>
        <v>0</v>
      </c>
    </row>
    <row r="270" spans="1:13" x14ac:dyDescent="0.25">
      <c r="A270" s="80">
        <v>44494</v>
      </c>
      <c r="B270" s="6">
        <v>2</v>
      </c>
      <c r="C270" s="54">
        <f t="shared" si="17"/>
        <v>5</v>
      </c>
      <c r="D270" s="6">
        <v>0</v>
      </c>
      <c r="E270" s="54">
        <v>5841</v>
      </c>
      <c r="F270" s="54">
        <f t="shared" si="19"/>
        <v>5858</v>
      </c>
      <c r="G270" s="6">
        <v>12</v>
      </c>
      <c r="H270">
        <f t="shared" si="18"/>
        <v>6</v>
      </c>
      <c r="M270" s="100"/>
    </row>
    <row r="271" spans="1:13" x14ac:dyDescent="0.25">
      <c r="A271" s="80">
        <v>44495</v>
      </c>
      <c r="B271" s="6">
        <v>1</v>
      </c>
      <c r="C271" s="54">
        <f t="shared" si="17"/>
        <v>5</v>
      </c>
      <c r="D271" s="6">
        <v>1</v>
      </c>
      <c r="E271" s="54">
        <v>5847</v>
      </c>
      <c r="F271" s="54">
        <f t="shared" si="19"/>
        <v>5861</v>
      </c>
      <c r="G271" s="6">
        <v>9</v>
      </c>
      <c r="H271">
        <f t="shared" si="18"/>
        <v>3</v>
      </c>
    </row>
    <row r="272" spans="1:13" x14ac:dyDescent="0.25">
      <c r="A272" s="80">
        <v>44496</v>
      </c>
      <c r="B272" s="6">
        <v>0</v>
      </c>
      <c r="C272" s="54">
        <f t="shared" si="17"/>
        <v>5</v>
      </c>
      <c r="D272" s="6">
        <v>0</v>
      </c>
      <c r="E272" s="54">
        <v>5847</v>
      </c>
      <c r="F272" s="54">
        <f t="shared" si="19"/>
        <v>5862</v>
      </c>
      <c r="G272" s="6">
        <v>10</v>
      </c>
      <c r="H272">
        <f t="shared" si="18"/>
        <v>-1</v>
      </c>
      <c r="M272" s="100"/>
    </row>
    <row r="273" spans="1:8" x14ac:dyDescent="0.25">
      <c r="A273" s="80">
        <v>44497</v>
      </c>
      <c r="B273" s="6">
        <v>0</v>
      </c>
      <c r="C273" s="54">
        <f t="shared" si="17"/>
        <v>5</v>
      </c>
      <c r="D273" s="6">
        <v>0</v>
      </c>
      <c r="E273" s="54">
        <v>5848</v>
      </c>
      <c r="F273" s="54">
        <f t="shared" si="19"/>
        <v>5868</v>
      </c>
      <c r="G273" s="6">
        <v>15</v>
      </c>
      <c r="H273">
        <f t="shared" si="18"/>
        <v>-5</v>
      </c>
    </row>
    <row r="274" spans="1:8" x14ac:dyDescent="0.25">
      <c r="A274" s="80">
        <v>44498</v>
      </c>
      <c r="B274" s="6">
        <v>0</v>
      </c>
      <c r="C274" s="54">
        <f t="shared" si="17"/>
        <v>0</v>
      </c>
      <c r="D274" s="6">
        <v>5</v>
      </c>
      <c r="E274" s="54">
        <v>5851</v>
      </c>
      <c r="F274" s="54">
        <f t="shared" si="19"/>
        <v>5870</v>
      </c>
      <c r="G274" s="6">
        <v>19</v>
      </c>
      <c r="H274">
        <f t="shared" si="18"/>
        <v>-4</v>
      </c>
    </row>
    <row r="275" spans="1:8" x14ac:dyDescent="0.25">
      <c r="A275" s="80">
        <v>44499</v>
      </c>
      <c r="B275" s="6">
        <v>0</v>
      </c>
      <c r="C275" s="54">
        <f t="shared" si="17"/>
        <v>0</v>
      </c>
      <c r="D275" s="6">
        <v>0</v>
      </c>
      <c r="E275" s="54">
        <v>5851</v>
      </c>
      <c r="F275" s="54">
        <f t="shared" si="19"/>
        <v>5870</v>
      </c>
      <c r="G275" s="6">
        <v>19</v>
      </c>
      <c r="H275">
        <f t="shared" si="18"/>
        <v>0</v>
      </c>
    </row>
    <row r="276" spans="1:8" x14ac:dyDescent="0.25">
      <c r="A276" s="80">
        <v>44500</v>
      </c>
      <c r="B276" s="6">
        <v>1</v>
      </c>
      <c r="C276" s="54">
        <f t="shared" si="17"/>
        <v>1</v>
      </c>
      <c r="D276" s="6">
        <v>0</v>
      </c>
      <c r="E276" s="54">
        <v>5850</v>
      </c>
      <c r="F276" s="54">
        <f t="shared" si="19"/>
        <v>5870</v>
      </c>
      <c r="G276" s="6">
        <v>19</v>
      </c>
      <c r="H276">
        <f t="shared" si="18"/>
        <v>0</v>
      </c>
    </row>
    <row r="277" spans="1:8" x14ac:dyDescent="0.25">
      <c r="A277" s="80">
        <v>44501</v>
      </c>
      <c r="B277" s="6">
        <v>1</v>
      </c>
      <c r="C277" s="54">
        <f t="shared" si="17"/>
        <v>2</v>
      </c>
      <c r="D277" s="6">
        <v>0</v>
      </c>
      <c r="E277" s="54">
        <v>5851</v>
      </c>
      <c r="F277" s="54">
        <f t="shared" si="19"/>
        <v>5874</v>
      </c>
      <c r="G277" s="6">
        <v>21</v>
      </c>
      <c r="H277">
        <f t="shared" si="18"/>
        <v>-2</v>
      </c>
    </row>
    <row r="278" spans="1:8" x14ac:dyDescent="0.25">
      <c r="A278" s="80">
        <v>44502</v>
      </c>
      <c r="B278" s="6">
        <v>0</v>
      </c>
      <c r="C278" s="54">
        <f t="shared" si="17"/>
        <v>2</v>
      </c>
      <c r="D278" s="6">
        <v>0</v>
      </c>
      <c r="E278" s="54">
        <v>5850</v>
      </c>
      <c r="F278" s="54">
        <f t="shared" si="19"/>
        <v>5876</v>
      </c>
      <c r="G278" s="6">
        <v>24</v>
      </c>
      <c r="H278">
        <f t="shared" si="18"/>
        <v>-3</v>
      </c>
    </row>
    <row r="279" spans="1:8" x14ac:dyDescent="0.25">
      <c r="A279" s="80">
        <v>44503</v>
      </c>
      <c r="B279" s="6">
        <v>2</v>
      </c>
      <c r="C279" s="54">
        <f t="shared" si="17"/>
        <v>4</v>
      </c>
      <c r="D279" s="6">
        <v>0</v>
      </c>
      <c r="E279" s="54">
        <v>5850</v>
      </c>
      <c r="F279" s="54">
        <f t="shared" si="19"/>
        <v>5880</v>
      </c>
      <c r="G279" s="6">
        <v>26</v>
      </c>
      <c r="H279">
        <f t="shared" ref="H279:H344" si="20">G278-G279</f>
        <v>-2</v>
      </c>
    </row>
    <row r="280" spans="1:8" x14ac:dyDescent="0.25">
      <c r="A280" s="80">
        <v>44504</v>
      </c>
      <c r="B280" s="6">
        <v>0</v>
      </c>
      <c r="C280" s="54">
        <f t="shared" si="17"/>
        <v>2</v>
      </c>
      <c r="D280" s="6">
        <v>2</v>
      </c>
      <c r="E280" s="54">
        <v>5854</v>
      </c>
      <c r="F280" s="54">
        <f t="shared" si="19"/>
        <v>5880</v>
      </c>
      <c r="G280" s="6">
        <v>24</v>
      </c>
      <c r="H280">
        <f t="shared" si="20"/>
        <v>2</v>
      </c>
    </row>
    <row r="281" spans="1:8" x14ac:dyDescent="0.25">
      <c r="A281" s="80">
        <v>44505</v>
      </c>
      <c r="B281" s="6">
        <v>1</v>
      </c>
      <c r="C281" s="54">
        <f t="shared" si="17"/>
        <v>3</v>
      </c>
      <c r="D281" s="6">
        <v>0</v>
      </c>
      <c r="E281" s="54">
        <v>5855</v>
      </c>
      <c r="F281" s="54">
        <f t="shared" si="19"/>
        <v>5880</v>
      </c>
      <c r="G281" s="6">
        <v>22</v>
      </c>
      <c r="H281">
        <f t="shared" si="20"/>
        <v>2</v>
      </c>
    </row>
    <row r="282" spans="1:8" x14ac:dyDescent="0.25">
      <c r="A282" s="80">
        <v>44506</v>
      </c>
      <c r="B282" s="6">
        <v>1</v>
      </c>
      <c r="C282" s="54">
        <f t="shared" si="17"/>
        <v>4</v>
      </c>
      <c r="D282" s="6">
        <v>0</v>
      </c>
      <c r="E282" s="54">
        <v>5855</v>
      </c>
      <c r="F282" s="54">
        <f t="shared" si="19"/>
        <v>5881</v>
      </c>
      <c r="G282" s="6">
        <v>22</v>
      </c>
      <c r="H282">
        <f t="shared" si="20"/>
        <v>0</v>
      </c>
    </row>
    <row r="283" spans="1:8" x14ac:dyDescent="0.25">
      <c r="A283" s="80">
        <v>44507</v>
      </c>
      <c r="B283" s="6">
        <v>0</v>
      </c>
      <c r="C283" s="54">
        <f t="shared" si="17"/>
        <v>4</v>
      </c>
      <c r="D283" s="6">
        <v>0</v>
      </c>
      <c r="E283" s="54">
        <v>5855</v>
      </c>
      <c r="F283" s="54">
        <f t="shared" si="19"/>
        <v>5881</v>
      </c>
      <c r="G283" s="6">
        <v>22</v>
      </c>
      <c r="H283">
        <f t="shared" si="20"/>
        <v>0</v>
      </c>
    </row>
    <row r="284" spans="1:8" x14ac:dyDescent="0.25">
      <c r="A284" s="80">
        <v>44508</v>
      </c>
      <c r="B284" s="6">
        <v>2</v>
      </c>
      <c r="C284" s="54">
        <f t="shared" si="17"/>
        <v>5</v>
      </c>
      <c r="D284" s="6">
        <v>1</v>
      </c>
      <c r="E284" s="54">
        <v>5857</v>
      </c>
      <c r="F284" s="54">
        <f t="shared" si="19"/>
        <v>5884</v>
      </c>
      <c r="G284" s="6">
        <v>22</v>
      </c>
      <c r="H284">
        <f t="shared" si="20"/>
        <v>0</v>
      </c>
    </row>
    <row r="285" spans="1:8" x14ac:dyDescent="0.25">
      <c r="A285" s="80">
        <v>44509</v>
      </c>
      <c r="B285" s="6">
        <v>0</v>
      </c>
      <c r="C285" s="54">
        <f t="shared" si="17"/>
        <v>5</v>
      </c>
      <c r="D285" s="6">
        <v>0</v>
      </c>
      <c r="E285" s="54">
        <v>5858</v>
      </c>
      <c r="F285" s="54">
        <f t="shared" si="19"/>
        <v>5888</v>
      </c>
      <c r="G285" s="6">
        <v>25</v>
      </c>
      <c r="H285">
        <f t="shared" si="20"/>
        <v>-3</v>
      </c>
    </row>
    <row r="286" spans="1:8" x14ac:dyDescent="0.25">
      <c r="A286" s="80">
        <v>44510</v>
      </c>
      <c r="B286" s="6">
        <v>0</v>
      </c>
      <c r="C286" s="54">
        <f t="shared" si="17"/>
        <v>4</v>
      </c>
      <c r="D286" s="6">
        <v>1</v>
      </c>
      <c r="E286" s="54">
        <v>5864</v>
      </c>
      <c r="F286" s="54">
        <f t="shared" si="19"/>
        <v>5887</v>
      </c>
      <c r="G286" s="6">
        <v>19</v>
      </c>
      <c r="H286">
        <f t="shared" si="20"/>
        <v>6</v>
      </c>
    </row>
    <row r="287" spans="1:8" x14ac:dyDescent="0.25">
      <c r="A287" s="80">
        <v>44511</v>
      </c>
      <c r="B287" s="6">
        <v>1</v>
      </c>
      <c r="C287" s="54">
        <f t="shared" ref="C287" si="21">C286+B287-D287</f>
        <v>5</v>
      </c>
      <c r="D287" s="6">
        <v>0</v>
      </c>
      <c r="E287" s="54">
        <v>5864</v>
      </c>
      <c r="F287" s="54">
        <f t="shared" ref="F287" si="22">C287+E287+G287</f>
        <v>5889</v>
      </c>
      <c r="G287" s="6">
        <v>20</v>
      </c>
      <c r="H287">
        <f t="shared" si="20"/>
        <v>-1</v>
      </c>
    </row>
    <row r="288" spans="1:8" x14ac:dyDescent="0.25">
      <c r="A288" s="80">
        <v>44512</v>
      </c>
      <c r="B288" s="6">
        <v>0</v>
      </c>
      <c r="C288" s="54">
        <f t="shared" ref="C288" si="23">C287+B288-D288</f>
        <v>5</v>
      </c>
      <c r="D288" s="6">
        <v>0</v>
      </c>
      <c r="E288" s="54">
        <v>5864</v>
      </c>
      <c r="F288" s="54">
        <f t="shared" ref="F288" si="24">C288+E288+G288</f>
        <v>5889</v>
      </c>
      <c r="G288" s="6">
        <v>20</v>
      </c>
      <c r="H288">
        <f t="shared" si="20"/>
        <v>0</v>
      </c>
    </row>
    <row r="289" spans="1:13" x14ac:dyDescent="0.25">
      <c r="A289" s="80">
        <v>44513</v>
      </c>
      <c r="B289" s="6">
        <v>1</v>
      </c>
      <c r="C289" s="54">
        <f t="shared" ref="C289" si="25">C288+B289-D289</f>
        <v>6</v>
      </c>
      <c r="D289" s="6">
        <v>0</v>
      </c>
      <c r="E289" s="54">
        <v>5867</v>
      </c>
      <c r="F289" s="54">
        <f t="shared" ref="F289:F292" si="26">C289+E289+G289</f>
        <v>5889</v>
      </c>
      <c r="G289" s="6">
        <v>16</v>
      </c>
      <c r="H289">
        <f t="shared" si="20"/>
        <v>4</v>
      </c>
    </row>
    <row r="290" spans="1:13" x14ac:dyDescent="0.25">
      <c r="A290" s="80">
        <v>44514</v>
      </c>
      <c r="B290" s="6">
        <v>0</v>
      </c>
      <c r="C290" s="54">
        <f t="shared" ref="C290" si="27">C289+B290-D290</f>
        <v>6</v>
      </c>
      <c r="D290" s="6">
        <v>0</v>
      </c>
      <c r="E290" s="54">
        <v>5872</v>
      </c>
      <c r="F290" s="54">
        <f t="shared" si="26"/>
        <v>5891</v>
      </c>
      <c r="G290" s="6">
        <v>13</v>
      </c>
      <c r="H290">
        <f t="shared" si="20"/>
        <v>3</v>
      </c>
    </row>
    <row r="291" spans="1:13" x14ac:dyDescent="0.25">
      <c r="A291" s="80">
        <v>44515</v>
      </c>
      <c r="B291" s="6">
        <v>0</v>
      </c>
      <c r="C291" s="54">
        <f t="shared" ref="C291:C292" si="28">C290+B291-D291</f>
        <v>6</v>
      </c>
      <c r="D291" s="6">
        <v>0</v>
      </c>
      <c r="E291" s="54">
        <v>5872</v>
      </c>
      <c r="F291" s="54">
        <f t="shared" si="26"/>
        <v>5891</v>
      </c>
      <c r="G291" s="6">
        <v>13</v>
      </c>
      <c r="H291">
        <f t="shared" si="20"/>
        <v>0</v>
      </c>
    </row>
    <row r="292" spans="1:13" x14ac:dyDescent="0.25">
      <c r="A292" s="80">
        <v>44516</v>
      </c>
      <c r="B292" s="6">
        <v>0</v>
      </c>
      <c r="C292" s="54">
        <f t="shared" si="28"/>
        <v>6</v>
      </c>
      <c r="D292" s="6">
        <v>0</v>
      </c>
      <c r="E292" s="54">
        <v>5872</v>
      </c>
      <c r="F292" s="54">
        <f t="shared" si="26"/>
        <v>5891</v>
      </c>
      <c r="G292" s="6">
        <v>13</v>
      </c>
      <c r="H292">
        <f t="shared" si="20"/>
        <v>0</v>
      </c>
    </row>
    <row r="293" spans="1:13" x14ac:dyDescent="0.25">
      <c r="A293" s="80">
        <v>44517</v>
      </c>
      <c r="B293" s="6">
        <v>1</v>
      </c>
      <c r="C293" s="54">
        <f t="shared" ref="C293" si="29">C292+B293-D293</f>
        <v>4</v>
      </c>
      <c r="D293" s="6">
        <v>3</v>
      </c>
      <c r="E293" s="54">
        <v>5880</v>
      </c>
      <c r="F293" s="54">
        <f t="shared" ref="F293" si="30">C293+E293+G293</f>
        <v>5898</v>
      </c>
      <c r="G293" s="6">
        <v>14</v>
      </c>
      <c r="H293">
        <f t="shared" si="20"/>
        <v>-1</v>
      </c>
    </row>
    <row r="294" spans="1:13" x14ac:dyDescent="0.25">
      <c r="A294" s="80">
        <v>44518</v>
      </c>
      <c r="B294" s="6">
        <v>0</v>
      </c>
      <c r="C294" s="54">
        <f t="shared" ref="C294" si="31">C293+B294-D294</f>
        <v>4</v>
      </c>
      <c r="D294" s="6">
        <v>0</v>
      </c>
      <c r="E294" s="54">
        <v>5879</v>
      </c>
      <c r="F294" s="54">
        <f t="shared" ref="F294" si="32">C294+E294+G294</f>
        <v>5897</v>
      </c>
      <c r="G294" s="6">
        <v>14</v>
      </c>
      <c r="H294">
        <f t="shared" si="20"/>
        <v>0</v>
      </c>
    </row>
    <row r="295" spans="1:13" x14ac:dyDescent="0.25">
      <c r="A295" s="80">
        <v>44519</v>
      </c>
      <c r="B295" s="6">
        <v>0</v>
      </c>
      <c r="C295" s="54">
        <f t="shared" ref="C295" si="33">C294+B295-D295</f>
        <v>4</v>
      </c>
      <c r="D295" s="6">
        <v>0</v>
      </c>
      <c r="E295" s="54">
        <v>5879</v>
      </c>
      <c r="F295" s="54">
        <f t="shared" ref="F295" si="34">C295+E295+G295</f>
        <v>5897</v>
      </c>
      <c r="G295" s="6">
        <v>14</v>
      </c>
      <c r="H295">
        <f t="shared" si="20"/>
        <v>0</v>
      </c>
    </row>
    <row r="296" spans="1:13" x14ac:dyDescent="0.25">
      <c r="A296" s="80">
        <v>44520</v>
      </c>
      <c r="B296" s="6">
        <v>0</v>
      </c>
      <c r="C296" s="54">
        <f t="shared" ref="C296" si="35">C295+B296-D296</f>
        <v>4</v>
      </c>
      <c r="D296" s="6">
        <v>0</v>
      </c>
      <c r="E296" s="54">
        <v>5879</v>
      </c>
      <c r="F296" s="54">
        <f t="shared" ref="F296" si="36">C296+E296+G296</f>
        <v>5897</v>
      </c>
      <c r="G296" s="6">
        <v>14</v>
      </c>
      <c r="H296">
        <f t="shared" si="20"/>
        <v>0</v>
      </c>
    </row>
    <row r="297" spans="1:13" x14ac:dyDescent="0.25">
      <c r="A297" s="80">
        <v>44521</v>
      </c>
      <c r="B297" s="6">
        <v>0</v>
      </c>
      <c r="C297" s="54">
        <f t="shared" ref="C297" si="37">C296+B297-D297</f>
        <v>4</v>
      </c>
      <c r="D297" s="6">
        <v>0</v>
      </c>
      <c r="E297" s="54">
        <v>5879</v>
      </c>
      <c r="F297" s="54">
        <f t="shared" ref="F297" si="38">C297+E297+G297</f>
        <v>5897</v>
      </c>
      <c r="G297" s="6">
        <v>14</v>
      </c>
      <c r="H297">
        <f t="shared" si="20"/>
        <v>0</v>
      </c>
    </row>
    <row r="298" spans="1:13" x14ac:dyDescent="0.25">
      <c r="A298" s="80">
        <v>44522</v>
      </c>
      <c r="B298" s="6">
        <v>1</v>
      </c>
      <c r="C298" s="54">
        <f t="shared" ref="C298" si="39">C297+B298-D298</f>
        <v>3</v>
      </c>
      <c r="D298" s="6">
        <v>2</v>
      </c>
      <c r="E298" s="54">
        <v>5884</v>
      </c>
      <c r="F298" s="54">
        <f t="shared" ref="F298" si="40">C298+E298+G298</f>
        <v>5897</v>
      </c>
      <c r="G298" s="6">
        <v>10</v>
      </c>
      <c r="H298">
        <f t="shared" si="20"/>
        <v>4</v>
      </c>
      <c r="M298" s="100"/>
    </row>
    <row r="299" spans="1:13" x14ac:dyDescent="0.25">
      <c r="A299" s="80">
        <v>44523</v>
      </c>
      <c r="B299" s="6">
        <v>0</v>
      </c>
      <c r="C299" s="54">
        <f t="shared" ref="C299" si="41">C298+B299-D299</f>
        <v>2</v>
      </c>
      <c r="D299" s="6">
        <v>1</v>
      </c>
      <c r="E299" s="54">
        <v>5886</v>
      </c>
      <c r="F299" s="54">
        <f t="shared" ref="F299" si="42">C299+E299+G299</f>
        <v>5897</v>
      </c>
      <c r="G299" s="6">
        <v>9</v>
      </c>
      <c r="H299">
        <f t="shared" si="20"/>
        <v>1</v>
      </c>
    </row>
    <row r="300" spans="1:13" x14ac:dyDescent="0.25">
      <c r="A300" s="80">
        <v>44524</v>
      </c>
      <c r="B300" s="6">
        <v>0</v>
      </c>
      <c r="C300" s="54">
        <f t="shared" ref="C300" si="43">C299+B300-D300</f>
        <v>2</v>
      </c>
      <c r="D300" s="6">
        <v>0</v>
      </c>
      <c r="E300" s="54">
        <v>5886</v>
      </c>
      <c r="F300" s="54">
        <f t="shared" ref="F300" si="44">C300+E300+G300</f>
        <v>5917</v>
      </c>
      <c r="G300" s="6">
        <v>29</v>
      </c>
      <c r="H300">
        <f t="shared" si="20"/>
        <v>-20</v>
      </c>
    </row>
    <row r="301" spans="1:13" x14ac:dyDescent="0.25">
      <c r="A301" s="80">
        <v>44525</v>
      </c>
      <c r="B301" s="6">
        <v>0</v>
      </c>
      <c r="C301" s="54">
        <f t="shared" ref="C301" si="45">C300+B301-D301</f>
        <v>2</v>
      </c>
      <c r="D301" s="6">
        <v>0</v>
      </c>
      <c r="E301" s="54">
        <v>5887</v>
      </c>
      <c r="F301" s="54">
        <f t="shared" ref="F301" si="46">C301+E301+G301</f>
        <v>5920</v>
      </c>
      <c r="G301" s="6">
        <v>31</v>
      </c>
      <c r="H301">
        <f t="shared" si="20"/>
        <v>-2</v>
      </c>
    </row>
    <row r="302" spans="1:13" x14ac:dyDescent="0.25">
      <c r="A302" s="80">
        <v>44526</v>
      </c>
      <c r="B302" s="6">
        <v>0</v>
      </c>
      <c r="C302" s="54">
        <f t="shared" ref="C302" si="47">C301+B302-D302</f>
        <v>1</v>
      </c>
      <c r="D302" s="6">
        <v>1</v>
      </c>
      <c r="E302" s="54">
        <v>5888</v>
      </c>
      <c r="F302" s="54">
        <f t="shared" ref="F302" si="48">C302+E302+G302</f>
        <v>5927</v>
      </c>
      <c r="G302" s="6">
        <v>38</v>
      </c>
      <c r="H302">
        <f t="shared" si="20"/>
        <v>-7</v>
      </c>
    </row>
    <row r="303" spans="1:13" x14ac:dyDescent="0.25">
      <c r="A303" s="80">
        <v>44527</v>
      </c>
      <c r="B303" s="6">
        <v>0</v>
      </c>
      <c r="C303" s="54">
        <f t="shared" ref="C303" si="49">C302+B303-D303</f>
        <v>1</v>
      </c>
      <c r="D303" s="6">
        <v>0</v>
      </c>
      <c r="E303" s="54">
        <v>5888</v>
      </c>
      <c r="F303" s="54">
        <f t="shared" ref="F303" si="50">C303+E303+G303</f>
        <v>5931</v>
      </c>
      <c r="G303" s="6">
        <v>42</v>
      </c>
      <c r="H303">
        <f t="shared" si="20"/>
        <v>-4</v>
      </c>
    </row>
    <row r="304" spans="1:13" x14ac:dyDescent="0.25">
      <c r="A304" s="80">
        <v>44528</v>
      </c>
      <c r="B304" s="6">
        <v>0</v>
      </c>
      <c r="C304" s="54">
        <f t="shared" ref="C304" si="51">C303+B304-D304</f>
        <v>1</v>
      </c>
      <c r="D304" s="6">
        <v>0</v>
      </c>
      <c r="E304" s="54">
        <v>5888</v>
      </c>
      <c r="F304" s="54">
        <f t="shared" ref="F304" si="52">C304+E304+G304</f>
        <v>5931</v>
      </c>
      <c r="G304" s="6">
        <v>42</v>
      </c>
      <c r="H304">
        <f t="shared" si="20"/>
        <v>0</v>
      </c>
      <c r="M304" s="100"/>
    </row>
    <row r="305" spans="1:14" x14ac:dyDescent="0.25">
      <c r="A305" s="80">
        <v>44529</v>
      </c>
      <c r="B305" s="6">
        <v>1</v>
      </c>
      <c r="C305" s="54">
        <f t="shared" ref="C305" si="53">C304+B305-D305</f>
        <v>2</v>
      </c>
      <c r="D305" s="6">
        <v>0</v>
      </c>
      <c r="E305" s="54">
        <v>5889</v>
      </c>
      <c r="F305" s="54">
        <f t="shared" ref="F305" si="54">C305+E305+G305</f>
        <v>5931</v>
      </c>
      <c r="G305" s="6">
        <v>40</v>
      </c>
      <c r="H305">
        <f t="shared" si="20"/>
        <v>2</v>
      </c>
    </row>
    <row r="306" spans="1:14" x14ac:dyDescent="0.25">
      <c r="A306" s="80">
        <v>44530</v>
      </c>
      <c r="B306" s="6">
        <v>0</v>
      </c>
      <c r="C306" s="54">
        <f t="shared" ref="C306" si="55">C305+B306-D306</f>
        <v>2</v>
      </c>
      <c r="D306" s="6">
        <v>0</v>
      </c>
      <c r="E306" s="54">
        <v>5889</v>
      </c>
      <c r="F306" s="54">
        <f t="shared" ref="F306" si="56">C306+E306+G306</f>
        <v>5931</v>
      </c>
      <c r="G306" s="6">
        <v>40</v>
      </c>
      <c r="H306">
        <f t="shared" si="20"/>
        <v>0</v>
      </c>
    </row>
    <row r="307" spans="1:14" x14ac:dyDescent="0.25">
      <c r="A307" s="80">
        <v>44531</v>
      </c>
      <c r="B307" s="6">
        <v>2</v>
      </c>
      <c r="C307" s="54">
        <f t="shared" ref="C307" si="57">C306+B307-D307</f>
        <v>4</v>
      </c>
      <c r="D307" s="6">
        <v>0</v>
      </c>
      <c r="E307" s="54">
        <v>5892</v>
      </c>
      <c r="F307" s="54">
        <f t="shared" ref="F307" si="58">C307+E307+G307</f>
        <v>5931</v>
      </c>
      <c r="G307" s="6">
        <v>35</v>
      </c>
      <c r="H307">
        <f t="shared" si="20"/>
        <v>5</v>
      </c>
    </row>
    <row r="308" spans="1:14" x14ac:dyDescent="0.25">
      <c r="A308" s="80">
        <v>44532</v>
      </c>
      <c r="B308" s="6">
        <v>0</v>
      </c>
      <c r="C308" s="54">
        <f t="shared" ref="C308" si="59">C307+B308-D308</f>
        <v>4</v>
      </c>
      <c r="D308" s="6">
        <v>0</v>
      </c>
      <c r="E308" s="54">
        <v>5892</v>
      </c>
      <c r="F308" s="54">
        <f t="shared" ref="F308" si="60">C308+E308+G308</f>
        <v>5937</v>
      </c>
      <c r="G308" s="6">
        <v>41</v>
      </c>
      <c r="H308">
        <f t="shared" si="20"/>
        <v>-6</v>
      </c>
      <c r="M308" s="100"/>
      <c r="N308" s="100"/>
    </row>
    <row r="309" spans="1:14" x14ac:dyDescent="0.25">
      <c r="A309" s="80">
        <v>44533</v>
      </c>
      <c r="B309" s="6">
        <v>0</v>
      </c>
      <c r="C309" s="54">
        <f t="shared" ref="C309" si="61">C308+B309-D309</f>
        <v>4</v>
      </c>
      <c r="D309" s="6">
        <v>0</v>
      </c>
      <c r="E309" s="54">
        <v>5891</v>
      </c>
      <c r="F309" s="54">
        <f t="shared" ref="F309" si="62">C309+E309+G309</f>
        <v>5936</v>
      </c>
      <c r="G309" s="6">
        <v>41</v>
      </c>
      <c r="H309">
        <f t="shared" si="20"/>
        <v>0</v>
      </c>
    </row>
    <row r="310" spans="1:14" x14ac:dyDescent="0.25">
      <c r="A310" s="80">
        <v>44534</v>
      </c>
      <c r="B310" s="6">
        <v>0</v>
      </c>
      <c r="C310" s="54">
        <f t="shared" ref="C310" si="63">C309+B310-D310</f>
        <v>4</v>
      </c>
      <c r="D310" s="6">
        <v>0</v>
      </c>
      <c r="E310" s="54">
        <v>5891</v>
      </c>
      <c r="F310" s="54">
        <f t="shared" ref="F310" si="64">C310+E310+G310</f>
        <v>5936</v>
      </c>
      <c r="G310" s="6">
        <v>41</v>
      </c>
      <c r="H310">
        <f t="shared" si="20"/>
        <v>0</v>
      </c>
      <c r="M310" s="100"/>
      <c r="N310" s="100"/>
    </row>
    <row r="311" spans="1:14" x14ac:dyDescent="0.25">
      <c r="A311" s="80">
        <v>44535</v>
      </c>
      <c r="B311" s="6">
        <v>0</v>
      </c>
      <c r="C311" s="54">
        <f t="shared" ref="C311" si="65">C310+B311-D311</f>
        <v>4</v>
      </c>
      <c r="D311" s="6">
        <v>0</v>
      </c>
      <c r="E311" s="54">
        <v>5891</v>
      </c>
      <c r="F311" s="54">
        <f t="shared" ref="F311" si="66">C311+E311+G311</f>
        <v>5936</v>
      </c>
      <c r="G311" s="6">
        <v>41</v>
      </c>
      <c r="H311">
        <f t="shared" si="20"/>
        <v>0</v>
      </c>
      <c r="M311" s="100"/>
      <c r="N311" s="100"/>
    </row>
    <row r="312" spans="1:14" x14ac:dyDescent="0.25">
      <c r="A312" s="80">
        <v>44536</v>
      </c>
      <c r="B312" s="6">
        <v>2</v>
      </c>
      <c r="C312" s="54">
        <f t="shared" ref="C312" si="67">C311+B312-D312</f>
        <v>6</v>
      </c>
      <c r="D312" s="6">
        <v>0</v>
      </c>
      <c r="E312" s="54">
        <v>5889</v>
      </c>
      <c r="F312" s="54">
        <f t="shared" ref="F312" si="68">C312+E312+G312</f>
        <v>5943</v>
      </c>
      <c r="G312" s="6">
        <v>48</v>
      </c>
      <c r="H312">
        <f t="shared" si="20"/>
        <v>-7</v>
      </c>
    </row>
    <row r="313" spans="1:14" x14ac:dyDescent="0.25">
      <c r="A313" s="80">
        <v>44537</v>
      </c>
      <c r="B313" s="6">
        <v>0</v>
      </c>
      <c r="C313" s="54">
        <f t="shared" ref="C313" si="69">C312+B313-D313</f>
        <v>6</v>
      </c>
      <c r="D313" s="6">
        <v>0</v>
      </c>
      <c r="E313" s="54">
        <v>5889</v>
      </c>
      <c r="F313" s="54">
        <f t="shared" ref="F313" si="70">C313+E313+G313</f>
        <v>5943</v>
      </c>
      <c r="G313" s="6">
        <v>48</v>
      </c>
      <c r="H313">
        <f t="shared" si="20"/>
        <v>0</v>
      </c>
      <c r="N313" s="100"/>
    </row>
    <row r="314" spans="1:14" x14ac:dyDescent="0.25">
      <c r="A314" s="80">
        <v>44538</v>
      </c>
      <c r="B314" s="6">
        <v>2</v>
      </c>
      <c r="C314" s="54">
        <f t="shared" ref="C314" si="71">C313+B314-D314</f>
        <v>6</v>
      </c>
      <c r="D314" s="6">
        <v>2</v>
      </c>
      <c r="E314" s="54">
        <v>5910</v>
      </c>
      <c r="F314" s="54">
        <f t="shared" ref="F314" si="72">C314+E314+G314</f>
        <v>5945</v>
      </c>
      <c r="G314" s="6">
        <v>29</v>
      </c>
      <c r="H314">
        <f t="shared" si="20"/>
        <v>19</v>
      </c>
      <c r="N314" s="100"/>
    </row>
    <row r="315" spans="1:14" x14ac:dyDescent="0.25">
      <c r="A315" s="80">
        <v>44539</v>
      </c>
      <c r="B315" s="6">
        <v>0</v>
      </c>
      <c r="C315" s="54">
        <f t="shared" ref="C315" si="73">C314+B315-D315</f>
        <v>4</v>
      </c>
      <c r="D315" s="6">
        <v>2</v>
      </c>
      <c r="E315" s="54">
        <v>5914</v>
      </c>
      <c r="F315" s="54">
        <f t="shared" ref="F315" si="74">C315+E315+G315</f>
        <v>5944</v>
      </c>
      <c r="G315" s="6">
        <v>26</v>
      </c>
      <c r="H315">
        <f t="shared" si="20"/>
        <v>3</v>
      </c>
      <c r="M315" s="100"/>
      <c r="N315" s="100"/>
    </row>
    <row r="316" spans="1:14" x14ac:dyDescent="0.25">
      <c r="A316" s="80">
        <v>44540</v>
      </c>
      <c r="B316" s="6">
        <v>0</v>
      </c>
      <c r="C316" s="54">
        <f t="shared" ref="C316" si="75">C315+B316-D316</f>
        <v>3</v>
      </c>
      <c r="D316" s="6">
        <v>1</v>
      </c>
      <c r="E316" s="54">
        <v>5922</v>
      </c>
      <c r="F316" s="54">
        <f t="shared" ref="F316" si="76">C316+E316+G316</f>
        <v>5944</v>
      </c>
      <c r="G316" s="6">
        <v>19</v>
      </c>
      <c r="H316">
        <f t="shared" si="20"/>
        <v>7</v>
      </c>
    </row>
    <row r="317" spans="1:14" x14ac:dyDescent="0.25">
      <c r="A317" s="80">
        <v>44541</v>
      </c>
      <c r="B317" s="6">
        <v>0</v>
      </c>
      <c r="C317" s="54">
        <f t="shared" ref="C317" si="77">C316+B317-D317</f>
        <v>2</v>
      </c>
      <c r="D317" s="6">
        <v>1</v>
      </c>
      <c r="E317" s="54">
        <v>5926</v>
      </c>
      <c r="F317" s="54">
        <f t="shared" ref="F317" si="78">C317+E317+G317</f>
        <v>5944</v>
      </c>
      <c r="G317" s="6">
        <v>16</v>
      </c>
      <c r="H317">
        <f t="shared" si="20"/>
        <v>3</v>
      </c>
    </row>
    <row r="318" spans="1:14" x14ac:dyDescent="0.25">
      <c r="A318" s="80">
        <v>44542</v>
      </c>
      <c r="B318" s="6">
        <v>0</v>
      </c>
      <c r="C318" s="54">
        <f t="shared" ref="C318" si="79">C317+B318-D318</f>
        <v>2</v>
      </c>
      <c r="D318" s="6">
        <v>0</v>
      </c>
      <c r="E318" s="54">
        <v>5924</v>
      </c>
      <c r="F318" s="54">
        <f t="shared" ref="F318" si="80">C318+E318+G318</f>
        <v>5947</v>
      </c>
      <c r="G318" s="6">
        <v>21</v>
      </c>
      <c r="H318">
        <f t="shared" si="20"/>
        <v>-5</v>
      </c>
      <c r="L318" s="100"/>
      <c r="M318" s="100"/>
      <c r="N318" s="100"/>
    </row>
    <row r="319" spans="1:14" x14ac:dyDescent="0.25">
      <c r="A319" s="80">
        <v>44543</v>
      </c>
      <c r="B319" s="6">
        <v>0</v>
      </c>
      <c r="C319" s="54">
        <f t="shared" ref="C319" si="81">C318+B319-D319</f>
        <v>2</v>
      </c>
      <c r="D319" s="6">
        <v>0</v>
      </c>
      <c r="E319" s="54">
        <v>5924</v>
      </c>
      <c r="F319" s="54">
        <f t="shared" ref="F319" si="82">C319+E319+G319</f>
        <v>5951</v>
      </c>
      <c r="G319" s="6">
        <v>25</v>
      </c>
      <c r="H319">
        <f t="shared" si="20"/>
        <v>-4</v>
      </c>
    </row>
    <row r="320" spans="1:14" x14ac:dyDescent="0.25">
      <c r="A320" s="80">
        <v>44544</v>
      </c>
      <c r="B320" s="6">
        <v>1</v>
      </c>
      <c r="C320" s="54">
        <f t="shared" ref="C320" si="83">C319+B320-D320</f>
        <v>2</v>
      </c>
      <c r="D320" s="6">
        <v>1</v>
      </c>
      <c r="E320" s="54">
        <v>5926</v>
      </c>
      <c r="F320" s="54">
        <f t="shared" ref="F320:F332" si="84">C320+E320+G320</f>
        <v>5956</v>
      </c>
      <c r="G320" s="6">
        <v>28</v>
      </c>
      <c r="H320">
        <f t="shared" si="20"/>
        <v>-3</v>
      </c>
    </row>
    <row r="321" spans="1:13" x14ac:dyDescent="0.25">
      <c r="A321" s="80">
        <v>44545</v>
      </c>
      <c r="B321" s="6">
        <v>0</v>
      </c>
      <c r="C321" s="54">
        <f t="shared" ref="C321" si="85">C320+B321-D321</f>
        <v>2</v>
      </c>
      <c r="D321" s="6">
        <v>0</v>
      </c>
      <c r="E321" s="54">
        <v>5926</v>
      </c>
      <c r="F321" s="54">
        <f t="shared" si="84"/>
        <v>5956</v>
      </c>
      <c r="G321" s="6">
        <v>28</v>
      </c>
      <c r="H321">
        <f t="shared" si="20"/>
        <v>0</v>
      </c>
    </row>
    <row r="322" spans="1:13" x14ac:dyDescent="0.25">
      <c r="A322" s="80">
        <v>44546</v>
      </c>
      <c r="B322" s="6">
        <v>1</v>
      </c>
      <c r="C322" s="54">
        <f t="shared" ref="C322" si="86">C321+B322-D322</f>
        <v>3</v>
      </c>
      <c r="D322" s="6">
        <v>0</v>
      </c>
      <c r="E322" s="54">
        <v>5929</v>
      </c>
      <c r="F322" s="54">
        <f t="shared" si="84"/>
        <v>5960</v>
      </c>
      <c r="G322" s="6">
        <v>28</v>
      </c>
      <c r="H322">
        <f t="shared" si="20"/>
        <v>0</v>
      </c>
      <c r="M322" s="100"/>
    </row>
    <row r="323" spans="1:13" x14ac:dyDescent="0.25">
      <c r="A323" s="80">
        <v>44547</v>
      </c>
      <c r="B323" s="6">
        <v>1</v>
      </c>
      <c r="C323" s="54">
        <f t="shared" ref="C323" si="87">C322+B323-D323</f>
        <v>3</v>
      </c>
      <c r="D323" s="6">
        <v>1</v>
      </c>
      <c r="E323" s="54">
        <v>5930</v>
      </c>
      <c r="F323" s="54">
        <f t="shared" si="84"/>
        <v>5961</v>
      </c>
      <c r="G323" s="6">
        <v>28</v>
      </c>
      <c r="H323">
        <f t="shared" si="20"/>
        <v>0</v>
      </c>
      <c r="M323" s="100"/>
    </row>
    <row r="324" spans="1:13" x14ac:dyDescent="0.25">
      <c r="A324" s="80">
        <v>44548</v>
      </c>
      <c r="B324" s="6">
        <v>0</v>
      </c>
      <c r="C324" s="54">
        <f t="shared" ref="C324" si="88">C323+B324-D324</f>
        <v>3</v>
      </c>
      <c r="D324" s="6">
        <v>0</v>
      </c>
      <c r="E324" s="54">
        <v>5930</v>
      </c>
      <c r="F324" s="54">
        <f t="shared" si="84"/>
        <v>5961</v>
      </c>
      <c r="G324" s="6">
        <v>28</v>
      </c>
      <c r="H324">
        <f t="shared" si="20"/>
        <v>0</v>
      </c>
    </row>
    <row r="325" spans="1:13" x14ac:dyDescent="0.25">
      <c r="A325" s="80">
        <v>44549</v>
      </c>
      <c r="B325" s="6">
        <v>0</v>
      </c>
      <c r="C325" s="54">
        <f t="shared" ref="C325" si="89">C324+B325-D325</f>
        <v>3</v>
      </c>
      <c r="D325" s="6">
        <v>0</v>
      </c>
      <c r="E325" s="54">
        <v>5930</v>
      </c>
      <c r="F325" s="54">
        <f t="shared" si="84"/>
        <v>5961</v>
      </c>
      <c r="G325" s="6">
        <v>28</v>
      </c>
      <c r="H325">
        <f t="shared" si="20"/>
        <v>0</v>
      </c>
      <c r="M325" s="100"/>
    </row>
    <row r="326" spans="1:13" x14ac:dyDescent="0.25">
      <c r="A326" s="80">
        <v>44550</v>
      </c>
      <c r="B326" s="6">
        <v>0</v>
      </c>
      <c r="C326" s="54">
        <f t="shared" ref="C326" si="90">C325+B326-D326</f>
        <v>3</v>
      </c>
      <c r="D326" s="6">
        <v>0</v>
      </c>
      <c r="E326" s="54">
        <v>5937</v>
      </c>
      <c r="F326" s="54">
        <f t="shared" si="84"/>
        <v>5967</v>
      </c>
      <c r="G326" s="6">
        <v>27</v>
      </c>
      <c r="H326">
        <f t="shared" si="20"/>
        <v>1</v>
      </c>
      <c r="M326" s="100"/>
    </row>
    <row r="327" spans="1:13" x14ac:dyDescent="0.25">
      <c r="A327" s="80">
        <v>44551</v>
      </c>
      <c r="B327" s="6">
        <v>0</v>
      </c>
      <c r="C327" s="54">
        <f t="shared" ref="C327" si="91">C326+B327-D327</f>
        <v>3</v>
      </c>
      <c r="D327" s="6">
        <v>0</v>
      </c>
      <c r="E327" s="54">
        <v>5937</v>
      </c>
      <c r="F327" s="54">
        <f t="shared" si="84"/>
        <v>5967</v>
      </c>
      <c r="G327" s="6">
        <v>27</v>
      </c>
      <c r="H327">
        <f t="shared" si="20"/>
        <v>0</v>
      </c>
    </row>
    <row r="328" spans="1:13" x14ac:dyDescent="0.25">
      <c r="A328" s="80">
        <v>44552</v>
      </c>
      <c r="B328" s="6">
        <v>0</v>
      </c>
      <c r="C328" s="54">
        <v>0</v>
      </c>
      <c r="D328" s="6">
        <v>0</v>
      </c>
      <c r="E328" s="54">
        <v>5940</v>
      </c>
      <c r="F328" s="54">
        <f t="shared" si="84"/>
        <v>5971</v>
      </c>
      <c r="G328" s="6">
        <v>31</v>
      </c>
      <c r="H328">
        <f t="shared" si="20"/>
        <v>-4</v>
      </c>
      <c r="M328" s="100"/>
    </row>
    <row r="329" spans="1:13" x14ac:dyDescent="0.25">
      <c r="A329" s="80">
        <v>44553</v>
      </c>
      <c r="B329" s="6">
        <v>0</v>
      </c>
      <c r="C329" s="54">
        <v>0</v>
      </c>
      <c r="D329" s="6">
        <v>0</v>
      </c>
      <c r="E329" s="54">
        <v>5940</v>
      </c>
      <c r="F329" s="54">
        <f t="shared" si="84"/>
        <v>5971</v>
      </c>
      <c r="G329" s="6">
        <v>31</v>
      </c>
      <c r="H329">
        <f t="shared" si="20"/>
        <v>0</v>
      </c>
      <c r="M329" s="100"/>
    </row>
    <row r="330" spans="1:13" x14ac:dyDescent="0.25">
      <c r="A330" s="80">
        <v>44554</v>
      </c>
      <c r="B330" s="6">
        <v>0</v>
      </c>
      <c r="C330" s="54">
        <v>0</v>
      </c>
      <c r="D330" s="6">
        <v>0</v>
      </c>
      <c r="E330" s="54">
        <v>5940</v>
      </c>
      <c r="F330" s="54">
        <f t="shared" si="84"/>
        <v>5982</v>
      </c>
      <c r="G330" s="6">
        <v>42</v>
      </c>
      <c r="H330">
        <f t="shared" si="20"/>
        <v>-11</v>
      </c>
    </row>
    <row r="331" spans="1:13" x14ac:dyDescent="0.25">
      <c r="A331" s="80">
        <v>44555</v>
      </c>
      <c r="B331" s="6">
        <v>0</v>
      </c>
      <c r="C331" s="54">
        <v>0</v>
      </c>
      <c r="D331" s="6">
        <v>0</v>
      </c>
      <c r="E331" s="54">
        <v>5940</v>
      </c>
      <c r="F331" s="54">
        <f t="shared" si="84"/>
        <v>5982</v>
      </c>
      <c r="G331" s="6">
        <v>42</v>
      </c>
      <c r="H331">
        <f t="shared" si="20"/>
        <v>0</v>
      </c>
    </row>
    <row r="332" spans="1:13" x14ac:dyDescent="0.25">
      <c r="A332" s="80">
        <v>44556</v>
      </c>
      <c r="B332" s="6">
        <v>0</v>
      </c>
      <c r="C332" s="54">
        <v>0</v>
      </c>
      <c r="D332" s="6">
        <v>0</v>
      </c>
      <c r="E332" s="54">
        <v>5945</v>
      </c>
      <c r="F332" s="54">
        <f t="shared" si="84"/>
        <v>5982</v>
      </c>
      <c r="G332" s="6">
        <v>37</v>
      </c>
      <c r="H332">
        <f t="shared" si="20"/>
        <v>5</v>
      </c>
    </row>
    <row r="333" spans="1:13" x14ac:dyDescent="0.25">
      <c r="A333" s="80">
        <v>44557</v>
      </c>
      <c r="B333" s="6">
        <v>0</v>
      </c>
      <c r="C333" s="54">
        <v>0</v>
      </c>
      <c r="D333" s="6">
        <v>0</v>
      </c>
      <c r="E333" s="54">
        <v>5953</v>
      </c>
      <c r="F333" s="54">
        <f t="shared" ref="F333" si="92">C333+E333+G333</f>
        <v>5990</v>
      </c>
      <c r="G333" s="6">
        <v>37</v>
      </c>
      <c r="H333">
        <f t="shared" si="20"/>
        <v>0</v>
      </c>
      <c r="M333" s="100"/>
    </row>
    <row r="334" spans="1:13" x14ac:dyDescent="0.25">
      <c r="A334" s="80">
        <v>44558</v>
      </c>
      <c r="B334" s="6">
        <v>0</v>
      </c>
      <c r="C334" s="54">
        <v>0</v>
      </c>
      <c r="D334" s="6">
        <v>0</v>
      </c>
      <c r="E334" s="54">
        <v>5953</v>
      </c>
      <c r="F334" s="54">
        <f t="shared" ref="F334" si="93">C334+E334+G334</f>
        <v>5990</v>
      </c>
      <c r="G334" s="6">
        <v>37</v>
      </c>
      <c r="H334">
        <f t="shared" si="20"/>
        <v>0</v>
      </c>
    </row>
    <row r="335" spans="1:13" x14ac:dyDescent="0.25">
      <c r="A335" s="80">
        <v>44559</v>
      </c>
      <c r="B335" s="6">
        <v>0</v>
      </c>
      <c r="C335" s="54">
        <v>0</v>
      </c>
      <c r="D335" s="6">
        <v>0</v>
      </c>
      <c r="E335" s="54">
        <v>5953</v>
      </c>
      <c r="F335" s="54">
        <f t="shared" ref="F335" si="94">C335+E335+G335</f>
        <v>5990</v>
      </c>
      <c r="G335" s="6">
        <v>37</v>
      </c>
      <c r="H335">
        <f t="shared" si="20"/>
        <v>0</v>
      </c>
    </row>
    <row r="336" spans="1:13" x14ac:dyDescent="0.25">
      <c r="A336" s="80">
        <v>44560</v>
      </c>
      <c r="B336" s="6">
        <v>0</v>
      </c>
      <c r="C336" s="54">
        <v>0</v>
      </c>
      <c r="D336" s="6">
        <v>0</v>
      </c>
      <c r="E336" s="54">
        <v>5956</v>
      </c>
      <c r="F336" s="54">
        <f t="shared" ref="F336" si="95">C336+E336+G336</f>
        <v>5988</v>
      </c>
      <c r="G336" s="6">
        <v>32</v>
      </c>
      <c r="H336">
        <f t="shared" si="20"/>
        <v>5</v>
      </c>
      <c r="M336" s="100"/>
    </row>
    <row r="337" spans="1:12" x14ac:dyDescent="0.25">
      <c r="A337" s="80">
        <v>44561</v>
      </c>
      <c r="B337" s="6">
        <v>1</v>
      </c>
      <c r="C337" s="54">
        <v>1</v>
      </c>
      <c r="D337" s="6">
        <v>0</v>
      </c>
      <c r="E337" s="54">
        <v>5956</v>
      </c>
      <c r="F337" s="54">
        <f t="shared" ref="F337" si="96">C337+E337+G337</f>
        <v>5989</v>
      </c>
      <c r="G337" s="6">
        <v>32</v>
      </c>
      <c r="H337">
        <f t="shared" si="20"/>
        <v>0</v>
      </c>
    </row>
    <row r="338" spans="1:12" x14ac:dyDescent="0.25">
      <c r="A338" s="80">
        <v>44562</v>
      </c>
      <c r="B338" s="6">
        <v>0</v>
      </c>
      <c r="C338" s="54">
        <v>1</v>
      </c>
      <c r="D338" s="6">
        <v>0</v>
      </c>
      <c r="E338" s="54">
        <v>5956</v>
      </c>
      <c r="F338" s="54">
        <f t="shared" ref="F338" si="97">C338+E338+G338</f>
        <v>5989</v>
      </c>
      <c r="G338" s="6">
        <v>32</v>
      </c>
      <c r="H338">
        <f t="shared" si="20"/>
        <v>0</v>
      </c>
    </row>
    <row r="339" spans="1:12" x14ac:dyDescent="0.25">
      <c r="A339" s="80">
        <v>44563</v>
      </c>
      <c r="B339" s="6">
        <v>0</v>
      </c>
      <c r="C339" s="54">
        <v>1</v>
      </c>
      <c r="D339" s="6">
        <v>0</v>
      </c>
      <c r="E339" s="54">
        <v>5956</v>
      </c>
      <c r="F339" s="54">
        <f t="shared" ref="F339" si="98">C339+E339+G339</f>
        <v>5989</v>
      </c>
      <c r="G339" s="6">
        <v>32</v>
      </c>
      <c r="H339">
        <f t="shared" si="20"/>
        <v>0</v>
      </c>
      <c r="L339" s="100"/>
    </row>
    <row r="340" spans="1:12" x14ac:dyDescent="0.25">
      <c r="A340" s="80">
        <v>44564</v>
      </c>
      <c r="B340" s="6">
        <v>2</v>
      </c>
      <c r="C340" s="54">
        <f t="shared" ref="C340:C343" si="99">C339+B340-D340</f>
        <v>3</v>
      </c>
      <c r="D340" s="6">
        <v>0</v>
      </c>
      <c r="E340" s="54">
        <v>5961</v>
      </c>
      <c r="F340" s="54">
        <f t="shared" ref="F340" si="100">C340+E340+G340</f>
        <v>5990</v>
      </c>
      <c r="G340" s="6">
        <v>26</v>
      </c>
      <c r="H340">
        <f t="shared" si="20"/>
        <v>6</v>
      </c>
    </row>
    <row r="341" spans="1:12" x14ac:dyDescent="0.25">
      <c r="A341" s="80">
        <v>44565</v>
      </c>
      <c r="B341" s="6">
        <v>0</v>
      </c>
      <c r="C341" s="54">
        <f t="shared" si="99"/>
        <v>1</v>
      </c>
      <c r="D341" s="6">
        <v>2</v>
      </c>
      <c r="E341" s="54">
        <v>5966</v>
      </c>
      <c r="F341" s="54">
        <f t="shared" ref="F341" si="101">C341+E341+G341</f>
        <v>5988</v>
      </c>
      <c r="G341" s="6">
        <v>21</v>
      </c>
      <c r="H341">
        <f t="shared" si="20"/>
        <v>5</v>
      </c>
    </row>
    <row r="342" spans="1:12" x14ac:dyDescent="0.25">
      <c r="A342" s="80">
        <v>44566</v>
      </c>
      <c r="B342" s="6">
        <v>0</v>
      </c>
      <c r="C342" s="54">
        <f t="shared" si="99"/>
        <v>1</v>
      </c>
      <c r="D342" s="6">
        <v>0</v>
      </c>
      <c r="E342" s="54">
        <v>5966</v>
      </c>
      <c r="F342" s="54">
        <f t="shared" ref="F342" si="102">C342+E342+G342</f>
        <v>5989</v>
      </c>
      <c r="G342" s="6">
        <v>22</v>
      </c>
      <c r="H342">
        <f t="shared" si="20"/>
        <v>-1</v>
      </c>
    </row>
    <row r="343" spans="1:12" x14ac:dyDescent="0.25">
      <c r="A343" s="80">
        <v>44567</v>
      </c>
      <c r="B343" s="6">
        <v>0</v>
      </c>
      <c r="C343" s="54">
        <f t="shared" si="99"/>
        <v>0</v>
      </c>
      <c r="D343" s="6">
        <v>1</v>
      </c>
      <c r="E343" s="54">
        <v>5967</v>
      </c>
      <c r="F343" s="54">
        <f t="shared" ref="F343:F344" si="103">C343+E343+G343</f>
        <v>6028</v>
      </c>
      <c r="G343" s="6">
        <v>61</v>
      </c>
      <c r="H343">
        <f t="shared" si="20"/>
        <v>-39</v>
      </c>
    </row>
    <row r="344" spans="1:12" x14ac:dyDescent="0.25">
      <c r="A344" s="80">
        <v>44568</v>
      </c>
      <c r="B344" s="6">
        <v>0</v>
      </c>
      <c r="C344" s="54">
        <f t="shared" ref="C344:C370" si="104">C343+B344-D344</f>
        <v>0</v>
      </c>
      <c r="D344" s="6">
        <v>0</v>
      </c>
      <c r="E344" s="54">
        <v>5976</v>
      </c>
      <c r="F344" s="54">
        <f t="shared" si="103"/>
        <v>6235</v>
      </c>
      <c r="G344" s="6">
        <v>259</v>
      </c>
      <c r="H344">
        <f t="shared" si="20"/>
        <v>-198</v>
      </c>
    </row>
    <row r="345" spans="1:12" x14ac:dyDescent="0.25">
      <c r="A345" s="80">
        <v>44569</v>
      </c>
      <c r="B345" s="6">
        <v>3</v>
      </c>
      <c r="C345" s="54">
        <f t="shared" si="104"/>
        <v>3</v>
      </c>
      <c r="D345" s="6">
        <v>0</v>
      </c>
      <c r="E345" s="54">
        <v>5976</v>
      </c>
      <c r="F345" s="54">
        <f t="shared" ref="F345" si="105">C345+E345+G345</f>
        <v>6554</v>
      </c>
      <c r="G345" s="6">
        <v>575</v>
      </c>
      <c r="H345">
        <f>G344-G345</f>
        <v>-316</v>
      </c>
    </row>
    <row r="346" spans="1:12" x14ac:dyDescent="0.25">
      <c r="A346" s="80">
        <v>44570</v>
      </c>
      <c r="B346" s="6">
        <v>0</v>
      </c>
      <c r="C346" s="54">
        <f t="shared" si="104"/>
        <v>3</v>
      </c>
      <c r="D346" s="6">
        <v>0</v>
      </c>
      <c r="E346" s="54">
        <v>5976</v>
      </c>
      <c r="F346" s="54">
        <f t="shared" ref="F346" si="106">C346+E346+G346</f>
        <v>6554</v>
      </c>
      <c r="G346" s="6">
        <v>575</v>
      </c>
      <c r="H346">
        <f t="shared" ref="H346:H381" si="107">G345-G346</f>
        <v>0</v>
      </c>
    </row>
    <row r="347" spans="1:12" x14ac:dyDescent="0.25">
      <c r="A347" s="80">
        <v>44571</v>
      </c>
      <c r="B347" s="6">
        <v>0</v>
      </c>
      <c r="C347" s="54">
        <f t="shared" si="104"/>
        <v>3</v>
      </c>
      <c r="D347" s="6">
        <v>0</v>
      </c>
      <c r="E347" s="54">
        <v>5985</v>
      </c>
      <c r="F347" s="54">
        <f t="shared" ref="F347:F348" si="108">C347+E347+G347</f>
        <v>6629</v>
      </c>
      <c r="G347" s="6">
        <v>641</v>
      </c>
      <c r="H347">
        <f t="shared" si="107"/>
        <v>-66</v>
      </c>
    </row>
    <row r="348" spans="1:12" x14ac:dyDescent="0.25">
      <c r="A348" s="80">
        <v>44572</v>
      </c>
      <c r="B348" s="6">
        <v>0</v>
      </c>
      <c r="C348" s="54">
        <f t="shared" si="104"/>
        <v>3</v>
      </c>
      <c r="D348" s="6">
        <v>0</v>
      </c>
      <c r="E348" s="54">
        <v>5985</v>
      </c>
      <c r="F348" s="54">
        <f t="shared" si="108"/>
        <v>6679</v>
      </c>
      <c r="G348" s="6">
        <v>691</v>
      </c>
      <c r="H348">
        <f t="shared" si="107"/>
        <v>-50</v>
      </c>
      <c r="L348" s="100"/>
    </row>
    <row r="349" spans="1:12" x14ac:dyDescent="0.25">
      <c r="A349" s="80">
        <v>44573</v>
      </c>
      <c r="B349" s="6">
        <v>0</v>
      </c>
      <c r="C349" s="54">
        <f t="shared" si="104"/>
        <v>3</v>
      </c>
      <c r="D349" s="6">
        <v>0</v>
      </c>
      <c r="E349" s="54">
        <v>5985</v>
      </c>
      <c r="F349" s="54">
        <f t="shared" ref="F349" si="109">C349+E349+G349</f>
        <v>6702</v>
      </c>
      <c r="G349" s="6">
        <v>714</v>
      </c>
      <c r="H349">
        <f t="shared" si="107"/>
        <v>-23</v>
      </c>
    </row>
    <row r="350" spans="1:12" x14ac:dyDescent="0.25">
      <c r="A350" s="80">
        <v>44574</v>
      </c>
      <c r="B350" s="6">
        <v>1</v>
      </c>
      <c r="C350" s="54">
        <f t="shared" si="104"/>
        <v>4</v>
      </c>
      <c r="D350" s="6">
        <v>0</v>
      </c>
      <c r="E350" s="54">
        <v>5985</v>
      </c>
      <c r="F350" s="54">
        <f t="shared" ref="F350" si="110">C350+E350+G350</f>
        <v>6789</v>
      </c>
      <c r="G350" s="6">
        <v>800</v>
      </c>
      <c r="H350">
        <f t="shared" si="107"/>
        <v>-86</v>
      </c>
    </row>
    <row r="351" spans="1:12" x14ac:dyDescent="0.25">
      <c r="A351" s="80">
        <v>44575</v>
      </c>
      <c r="B351" s="6">
        <v>1</v>
      </c>
      <c r="C351" s="54">
        <f t="shared" si="104"/>
        <v>5</v>
      </c>
      <c r="D351" s="6">
        <v>0</v>
      </c>
      <c r="E351" s="54">
        <v>5985</v>
      </c>
      <c r="F351" s="54">
        <f t="shared" ref="F351" si="111">C351+E351+G351</f>
        <v>6812</v>
      </c>
      <c r="G351" s="6">
        <v>822</v>
      </c>
      <c r="H351">
        <f t="shared" si="107"/>
        <v>-22</v>
      </c>
      <c r="L351" s="100"/>
    </row>
    <row r="352" spans="1:12" x14ac:dyDescent="0.25">
      <c r="A352" s="80">
        <v>44576</v>
      </c>
      <c r="B352" s="6">
        <v>0</v>
      </c>
      <c r="C352" s="54">
        <f t="shared" si="104"/>
        <v>4</v>
      </c>
      <c r="D352" s="6">
        <v>1</v>
      </c>
      <c r="E352" s="54">
        <v>5986</v>
      </c>
      <c r="F352" s="54">
        <f t="shared" ref="F352" si="112">C352+E352+G352</f>
        <v>6840</v>
      </c>
      <c r="G352" s="6">
        <v>850</v>
      </c>
      <c r="H352">
        <f t="shared" si="107"/>
        <v>-28</v>
      </c>
    </row>
    <row r="353" spans="1:13" x14ac:dyDescent="0.25">
      <c r="A353" s="80">
        <v>44577</v>
      </c>
      <c r="B353" s="6">
        <v>0</v>
      </c>
      <c r="C353" s="54">
        <f t="shared" si="104"/>
        <v>4</v>
      </c>
      <c r="D353" s="6">
        <v>0</v>
      </c>
      <c r="E353" s="54">
        <v>5986</v>
      </c>
      <c r="F353" s="54">
        <f t="shared" ref="F353" si="113">C353+E353+G353</f>
        <v>6840</v>
      </c>
      <c r="G353" s="6">
        <v>850</v>
      </c>
      <c r="H353">
        <f t="shared" si="107"/>
        <v>0</v>
      </c>
    </row>
    <row r="354" spans="1:13" x14ac:dyDescent="0.25">
      <c r="A354" s="80">
        <v>44578</v>
      </c>
      <c r="B354" s="6">
        <v>0</v>
      </c>
      <c r="C354" s="54">
        <f t="shared" si="104"/>
        <v>3</v>
      </c>
      <c r="D354" s="6">
        <v>1</v>
      </c>
      <c r="E354" s="54">
        <v>5988</v>
      </c>
      <c r="F354" s="54">
        <f t="shared" ref="F354" si="114">C354+E354+G354</f>
        <v>6874</v>
      </c>
      <c r="G354" s="6">
        <v>883</v>
      </c>
      <c r="H354">
        <f t="shared" si="107"/>
        <v>-33</v>
      </c>
    </row>
    <row r="355" spans="1:13" x14ac:dyDescent="0.25">
      <c r="A355" s="80">
        <v>44579</v>
      </c>
      <c r="B355" s="6">
        <v>0</v>
      </c>
      <c r="C355" s="54">
        <f t="shared" si="104"/>
        <v>3</v>
      </c>
      <c r="D355" s="6">
        <v>0</v>
      </c>
      <c r="E355" s="54">
        <v>5989</v>
      </c>
      <c r="F355" s="54">
        <f t="shared" ref="F355" si="115">C355+E355+G355</f>
        <v>6875</v>
      </c>
      <c r="G355" s="6">
        <v>883</v>
      </c>
      <c r="H355">
        <f t="shared" si="107"/>
        <v>0</v>
      </c>
    </row>
    <row r="356" spans="1:13" x14ac:dyDescent="0.25">
      <c r="A356" s="80">
        <v>44580</v>
      </c>
      <c r="B356" s="6">
        <v>0</v>
      </c>
      <c r="C356" s="54">
        <f t="shared" si="104"/>
        <v>0</v>
      </c>
      <c r="D356" s="6">
        <v>3</v>
      </c>
      <c r="E356" s="54">
        <v>6008</v>
      </c>
      <c r="F356" s="54">
        <f t="shared" ref="F356" si="116">C356+E356+G356</f>
        <v>6878</v>
      </c>
      <c r="G356" s="6">
        <v>870</v>
      </c>
      <c r="H356">
        <f t="shared" si="107"/>
        <v>13</v>
      </c>
    </row>
    <row r="357" spans="1:13" x14ac:dyDescent="0.25">
      <c r="A357" s="80">
        <v>44581</v>
      </c>
      <c r="B357" s="6">
        <v>0</v>
      </c>
      <c r="C357" s="54">
        <f t="shared" si="104"/>
        <v>0</v>
      </c>
      <c r="D357" s="6">
        <v>0</v>
      </c>
      <c r="E357" s="54">
        <v>6082</v>
      </c>
      <c r="F357" s="54">
        <f t="shared" ref="F357" si="117">C357+E357+G357</f>
        <v>6904</v>
      </c>
      <c r="G357" s="6">
        <v>822</v>
      </c>
      <c r="H357">
        <f t="shared" si="107"/>
        <v>48</v>
      </c>
    </row>
    <row r="358" spans="1:13" x14ac:dyDescent="0.25">
      <c r="A358" s="80">
        <v>44582</v>
      </c>
      <c r="B358" s="6">
        <v>0</v>
      </c>
      <c r="C358" s="54">
        <f t="shared" si="104"/>
        <v>0</v>
      </c>
      <c r="D358" s="6">
        <v>0</v>
      </c>
      <c r="E358" s="54">
        <v>6429</v>
      </c>
      <c r="F358" s="54">
        <f t="shared" ref="F358" si="118">C358+E358+G358</f>
        <v>6924</v>
      </c>
      <c r="G358" s="6">
        <v>495</v>
      </c>
      <c r="H358">
        <f t="shared" si="107"/>
        <v>327</v>
      </c>
    </row>
    <row r="359" spans="1:13" x14ac:dyDescent="0.25">
      <c r="A359" s="80">
        <v>44583</v>
      </c>
      <c r="B359" s="6">
        <v>0</v>
      </c>
      <c r="C359" s="54">
        <f t="shared" si="104"/>
        <v>0</v>
      </c>
      <c r="D359" s="6">
        <v>0</v>
      </c>
      <c r="E359" s="54">
        <v>6632</v>
      </c>
      <c r="F359" s="54">
        <f t="shared" ref="F359" si="119">C359+E359+G359</f>
        <v>6973</v>
      </c>
      <c r="G359" s="6">
        <v>341</v>
      </c>
      <c r="H359">
        <f t="shared" si="107"/>
        <v>154</v>
      </c>
    </row>
    <row r="360" spans="1:13" x14ac:dyDescent="0.25">
      <c r="A360" s="80">
        <v>44584</v>
      </c>
      <c r="B360" s="6">
        <v>0</v>
      </c>
      <c r="C360" s="54">
        <f t="shared" si="104"/>
        <v>0</v>
      </c>
      <c r="D360" s="6">
        <v>0</v>
      </c>
      <c r="E360" s="54">
        <v>6632</v>
      </c>
      <c r="F360" s="54">
        <f t="shared" ref="F360" si="120">C360+E360+G360</f>
        <v>6973</v>
      </c>
      <c r="G360" s="6">
        <v>341</v>
      </c>
      <c r="H360">
        <f t="shared" si="107"/>
        <v>0</v>
      </c>
    </row>
    <row r="361" spans="1:13" x14ac:dyDescent="0.25">
      <c r="A361" s="80">
        <v>44585</v>
      </c>
      <c r="B361" s="6">
        <v>0</v>
      </c>
      <c r="C361" s="54">
        <f t="shared" si="104"/>
        <v>0</v>
      </c>
      <c r="D361" s="6">
        <v>0</v>
      </c>
      <c r="E361" s="54">
        <v>6672</v>
      </c>
      <c r="F361" s="54">
        <f t="shared" ref="F361" si="121">C361+E361+G361</f>
        <v>6980</v>
      </c>
      <c r="G361" s="6">
        <v>308</v>
      </c>
      <c r="H361">
        <f t="shared" si="107"/>
        <v>33</v>
      </c>
    </row>
    <row r="362" spans="1:13" x14ac:dyDescent="0.25">
      <c r="A362" s="80">
        <v>44586</v>
      </c>
      <c r="B362" s="6">
        <v>0</v>
      </c>
      <c r="C362" s="54">
        <f t="shared" si="104"/>
        <v>0</v>
      </c>
      <c r="D362" s="6">
        <v>0</v>
      </c>
      <c r="E362" s="54">
        <v>6800</v>
      </c>
      <c r="F362" s="54">
        <f t="shared" ref="F362" si="122">C362+E362+G362</f>
        <v>7023</v>
      </c>
      <c r="G362" s="6">
        <v>223</v>
      </c>
      <c r="H362">
        <f t="shared" si="107"/>
        <v>85</v>
      </c>
    </row>
    <row r="363" spans="1:13" x14ac:dyDescent="0.25">
      <c r="A363" s="80">
        <v>44587</v>
      </c>
      <c r="B363" s="6">
        <v>0</v>
      </c>
      <c r="C363" s="54">
        <f t="shared" si="104"/>
        <v>0</v>
      </c>
      <c r="D363" s="6">
        <v>0</v>
      </c>
      <c r="E363" s="54">
        <v>6807</v>
      </c>
      <c r="F363" s="54">
        <f t="shared" ref="F363" si="123">C363+E363+G363</f>
        <v>7031</v>
      </c>
      <c r="G363" s="6">
        <v>224</v>
      </c>
      <c r="H363">
        <f t="shared" si="107"/>
        <v>-1</v>
      </c>
    </row>
    <row r="364" spans="1:13" x14ac:dyDescent="0.25">
      <c r="A364" s="80">
        <v>44588</v>
      </c>
      <c r="B364" s="6">
        <v>0</v>
      </c>
      <c r="C364" s="54">
        <f t="shared" si="104"/>
        <v>0</v>
      </c>
      <c r="D364" s="6">
        <v>0</v>
      </c>
      <c r="E364" s="54">
        <v>6821</v>
      </c>
      <c r="F364" s="54">
        <f t="shared" ref="F364" si="124">C364+E364+G364</f>
        <v>7030</v>
      </c>
      <c r="G364" s="6">
        <v>209</v>
      </c>
      <c r="H364">
        <f t="shared" si="107"/>
        <v>15</v>
      </c>
    </row>
    <row r="365" spans="1:13" x14ac:dyDescent="0.25">
      <c r="A365" s="80">
        <v>44589</v>
      </c>
      <c r="B365" s="6">
        <v>0</v>
      </c>
      <c r="C365" s="54">
        <f t="shared" si="104"/>
        <v>0</v>
      </c>
      <c r="D365" s="6">
        <v>0</v>
      </c>
      <c r="E365" s="54">
        <v>6828</v>
      </c>
      <c r="F365" s="54">
        <f t="shared" ref="F365" si="125">C365+E365+G365</f>
        <v>7029</v>
      </c>
      <c r="G365" s="6">
        <v>201</v>
      </c>
      <c r="H365">
        <f t="shared" si="107"/>
        <v>8</v>
      </c>
      <c r="M365" s="100"/>
    </row>
    <row r="366" spans="1:13" x14ac:dyDescent="0.25">
      <c r="A366" s="80">
        <v>44590</v>
      </c>
      <c r="B366" s="6">
        <v>0</v>
      </c>
      <c r="C366" s="54">
        <f t="shared" si="104"/>
        <v>0</v>
      </c>
      <c r="D366" s="6">
        <v>0</v>
      </c>
      <c r="E366" s="54">
        <v>6834</v>
      </c>
      <c r="F366" s="54">
        <f t="shared" ref="F366" si="126">C366+E366+G366</f>
        <v>7029</v>
      </c>
      <c r="G366" s="6">
        <v>195</v>
      </c>
      <c r="H366">
        <f t="shared" si="107"/>
        <v>6</v>
      </c>
    </row>
    <row r="367" spans="1:13" x14ac:dyDescent="0.25">
      <c r="A367" s="80">
        <v>44591</v>
      </c>
      <c r="B367" s="6">
        <v>0</v>
      </c>
      <c r="C367" s="54">
        <f t="shared" si="104"/>
        <v>0</v>
      </c>
      <c r="D367" s="6">
        <v>0</v>
      </c>
      <c r="E367" s="54">
        <v>6834</v>
      </c>
      <c r="F367" s="54">
        <f t="shared" ref="F367" si="127">C367+E367+G367</f>
        <v>7029</v>
      </c>
      <c r="G367" s="6">
        <v>195</v>
      </c>
      <c r="H367">
        <f t="shared" si="107"/>
        <v>0</v>
      </c>
    </row>
    <row r="368" spans="1:13" x14ac:dyDescent="0.25">
      <c r="A368" s="80">
        <v>44592</v>
      </c>
      <c r="B368" s="6">
        <v>0</v>
      </c>
      <c r="C368" s="54">
        <f t="shared" si="104"/>
        <v>0</v>
      </c>
      <c r="D368" s="6">
        <v>0</v>
      </c>
      <c r="E368" s="54">
        <v>6869</v>
      </c>
      <c r="F368" s="54">
        <f t="shared" ref="F368" si="128">C368+E368+G368</f>
        <v>7037</v>
      </c>
      <c r="G368" s="6">
        <v>168</v>
      </c>
      <c r="H368">
        <f t="shared" si="107"/>
        <v>27</v>
      </c>
    </row>
    <row r="369" spans="1:10" x14ac:dyDescent="0.25">
      <c r="A369" s="80">
        <v>44593</v>
      </c>
      <c r="B369" s="6">
        <v>1</v>
      </c>
      <c r="C369" s="54">
        <f t="shared" si="104"/>
        <v>1</v>
      </c>
      <c r="D369" s="6">
        <v>0</v>
      </c>
      <c r="E369" s="54">
        <v>6871</v>
      </c>
      <c r="F369" s="54">
        <f t="shared" ref="F369" si="129">C369+E369+G369</f>
        <v>7043</v>
      </c>
      <c r="G369" s="6">
        <v>171</v>
      </c>
      <c r="H369">
        <f t="shared" si="107"/>
        <v>-3</v>
      </c>
    </row>
    <row r="370" spans="1:10" x14ac:dyDescent="0.25">
      <c r="A370" s="80">
        <v>44594</v>
      </c>
      <c r="B370" s="6">
        <v>1</v>
      </c>
      <c r="C370" s="54">
        <f t="shared" si="104"/>
        <v>1</v>
      </c>
      <c r="D370" s="6">
        <v>1</v>
      </c>
      <c r="E370" s="54">
        <v>6896</v>
      </c>
      <c r="F370" s="54">
        <f t="shared" ref="F370" si="130">C370+E370+G370</f>
        <v>7045</v>
      </c>
      <c r="G370" s="6">
        <v>148</v>
      </c>
      <c r="H370">
        <f t="shared" si="107"/>
        <v>23</v>
      </c>
    </row>
    <row r="371" spans="1:10" x14ac:dyDescent="0.25">
      <c r="A371" s="80">
        <v>44595</v>
      </c>
      <c r="B371" s="6">
        <v>1</v>
      </c>
      <c r="C371" s="54">
        <f t="shared" ref="C371" si="131">C370+B371-D371</f>
        <v>2</v>
      </c>
      <c r="D371" s="6">
        <v>0</v>
      </c>
      <c r="E371" s="54">
        <v>6897</v>
      </c>
      <c r="F371" s="54">
        <f t="shared" ref="F371" si="132">C371+E371+G371</f>
        <v>7050</v>
      </c>
      <c r="G371" s="6">
        <v>151</v>
      </c>
      <c r="H371">
        <f t="shared" si="107"/>
        <v>-3</v>
      </c>
    </row>
    <row r="372" spans="1:10" x14ac:dyDescent="0.25">
      <c r="A372" s="80">
        <v>44596</v>
      </c>
      <c r="B372" s="6">
        <v>3</v>
      </c>
      <c r="C372" s="54">
        <f t="shared" ref="C372" si="133">C371+B372-D372</f>
        <v>5</v>
      </c>
      <c r="D372" s="6">
        <v>0</v>
      </c>
      <c r="E372" s="54">
        <v>6965</v>
      </c>
      <c r="F372" s="54">
        <f t="shared" ref="F372" si="134">C372+E372+G372</f>
        <v>7056</v>
      </c>
      <c r="G372" s="6">
        <v>86</v>
      </c>
      <c r="H372">
        <f t="shared" si="107"/>
        <v>65</v>
      </c>
    </row>
    <row r="373" spans="1:10" x14ac:dyDescent="0.25">
      <c r="A373" s="80">
        <v>44597</v>
      </c>
      <c r="B373" s="6">
        <v>2</v>
      </c>
      <c r="C373" s="54">
        <f t="shared" ref="C373" si="135">C372+B373-D373</f>
        <v>4</v>
      </c>
      <c r="D373" s="6">
        <v>3</v>
      </c>
      <c r="E373" s="54">
        <v>6964</v>
      </c>
      <c r="F373" s="54">
        <f t="shared" ref="F373:F380" si="136">C373+E373+G373</f>
        <v>7053</v>
      </c>
      <c r="G373" s="6">
        <v>85</v>
      </c>
      <c r="H373">
        <f t="shared" si="107"/>
        <v>1</v>
      </c>
    </row>
    <row r="374" spans="1:10" x14ac:dyDescent="0.25">
      <c r="A374" s="80">
        <v>44598</v>
      </c>
      <c r="B374" s="6">
        <v>2</v>
      </c>
      <c r="C374" s="54">
        <f t="shared" ref="C374" si="137">C373+B374-D374</f>
        <v>5</v>
      </c>
      <c r="D374" s="6">
        <v>1</v>
      </c>
      <c r="E374" s="54">
        <v>6963</v>
      </c>
      <c r="F374" s="54">
        <f t="shared" si="136"/>
        <v>7057</v>
      </c>
      <c r="G374" s="6">
        <v>89</v>
      </c>
      <c r="H374">
        <f t="shared" si="107"/>
        <v>-4</v>
      </c>
    </row>
    <row r="375" spans="1:10" x14ac:dyDescent="0.25">
      <c r="A375" s="80">
        <v>44599</v>
      </c>
      <c r="B375" s="6">
        <v>8</v>
      </c>
      <c r="C375" s="54">
        <f t="shared" ref="C375" si="138">C374+B375-D375</f>
        <v>10</v>
      </c>
      <c r="D375" s="6">
        <v>3</v>
      </c>
      <c r="E375" s="54">
        <v>7021</v>
      </c>
      <c r="F375" s="54">
        <f t="shared" si="136"/>
        <v>7082</v>
      </c>
      <c r="G375" s="6">
        <v>51</v>
      </c>
      <c r="H375">
        <f t="shared" si="107"/>
        <v>38</v>
      </c>
    </row>
    <row r="376" spans="1:10" x14ac:dyDescent="0.25">
      <c r="A376" s="80">
        <v>44600</v>
      </c>
      <c r="B376" s="6">
        <v>5</v>
      </c>
      <c r="C376" s="54">
        <f t="shared" ref="C376" si="139">C375+B376-D376</f>
        <v>14</v>
      </c>
      <c r="D376" s="6">
        <v>1</v>
      </c>
      <c r="E376" s="54">
        <v>7021</v>
      </c>
      <c r="F376" s="54">
        <f t="shared" si="136"/>
        <v>7091</v>
      </c>
      <c r="G376" s="6">
        <v>56</v>
      </c>
      <c r="H376">
        <f t="shared" si="107"/>
        <v>-5</v>
      </c>
    </row>
    <row r="377" spans="1:10" x14ac:dyDescent="0.25">
      <c r="A377" s="80">
        <v>44601</v>
      </c>
      <c r="B377" s="6">
        <v>3</v>
      </c>
      <c r="C377" s="54">
        <f t="shared" ref="C377:C378" si="140">C376+B377-D377</f>
        <v>8</v>
      </c>
      <c r="D377" s="6">
        <v>9</v>
      </c>
      <c r="E377" s="54">
        <v>7022</v>
      </c>
      <c r="F377" s="54">
        <f t="shared" si="136"/>
        <v>7099</v>
      </c>
      <c r="G377" s="6">
        <v>69</v>
      </c>
      <c r="H377">
        <f t="shared" si="107"/>
        <v>-13</v>
      </c>
    </row>
    <row r="378" spans="1:10" x14ac:dyDescent="0.25">
      <c r="A378" s="80">
        <v>44602</v>
      </c>
      <c r="B378" s="6">
        <v>3</v>
      </c>
      <c r="C378" s="54">
        <f t="shared" si="140"/>
        <v>9</v>
      </c>
      <c r="D378" s="6">
        <v>2</v>
      </c>
      <c r="E378" s="54">
        <v>7022</v>
      </c>
      <c r="F378" s="54">
        <f t="shared" si="136"/>
        <v>7100</v>
      </c>
      <c r="G378" s="6">
        <v>69</v>
      </c>
      <c r="H378">
        <f t="shared" si="107"/>
        <v>0</v>
      </c>
    </row>
    <row r="379" spans="1:10" x14ac:dyDescent="0.25">
      <c r="A379" s="80">
        <v>44603</v>
      </c>
      <c r="B379" s="6">
        <v>0</v>
      </c>
      <c r="C379" s="54">
        <f t="shared" ref="C379" si="141">C378+B379-D379</f>
        <v>9</v>
      </c>
      <c r="D379" s="6">
        <v>0</v>
      </c>
      <c r="E379" s="54">
        <v>7022</v>
      </c>
      <c r="F379" s="54">
        <f t="shared" si="136"/>
        <v>7100</v>
      </c>
      <c r="G379" s="6">
        <v>69</v>
      </c>
      <c r="H379">
        <f t="shared" si="107"/>
        <v>0</v>
      </c>
      <c r="I379" s="108"/>
      <c r="J379" s="109"/>
    </row>
    <row r="380" spans="1:10" x14ac:dyDescent="0.25">
      <c r="A380" s="80">
        <v>44604</v>
      </c>
      <c r="B380" s="6">
        <v>20</v>
      </c>
      <c r="C380" s="54">
        <f t="shared" ref="C380" si="142">C379+B380-D380</f>
        <v>22</v>
      </c>
      <c r="D380" s="6">
        <v>7</v>
      </c>
      <c r="E380" s="54">
        <v>7019</v>
      </c>
      <c r="F380" s="54">
        <f t="shared" si="136"/>
        <v>7289</v>
      </c>
      <c r="G380" s="6">
        <v>248</v>
      </c>
      <c r="H380">
        <f t="shared" si="107"/>
        <v>-179</v>
      </c>
      <c r="I380" s="110"/>
      <c r="J380" s="111"/>
    </row>
    <row r="381" spans="1:10" x14ac:dyDescent="0.25">
      <c r="A381" s="80">
        <v>44605</v>
      </c>
      <c r="B381" s="6">
        <v>5</v>
      </c>
      <c r="C381" s="54">
        <f t="shared" ref="C381" si="143">C380+B381-D381</f>
        <v>22</v>
      </c>
      <c r="D381" s="6">
        <v>5</v>
      </c>
      <c r="E381" s="54">
        <v>7019</v>
      </c>
      <c r="F381" s="54">
        <f t="shared" ref="F381" si="144">C381+E381+G381</f>
        <v>7290</v>
      </c>
      <c r="G381" s="6">
        <v>249</v>
      </c>
      <c r="H381">
        <f t="shared" si="107"/>
        <v>-1</v>
      </c>
      <c r="I381" s="112"/>
      <c r="J381" s="113"/>
    </row>
    <row r="382" spans="1:10" x14ac:dyDescent="0.25">
      <c r="A382" s="80">
        <v>44606</v>
      </c>
      <c r="B382" s="6">
        <v>28</v>
      </c>
      <c r="C382" s="54">
        <f t="shared" ref="C382" si="145">C381+B382-D382</f>
        <v>36</v>
      </c>
      <c r="D382" s="6">
        <v>14</v>
      </c>
      <c r="E382" s="54">
        <v>7053</v>
      </c>
      <c r="F382" s="54">
        <f t="shared" ref="F382" si="146">C382+E382+G382</f>
        <v>7346</v>
      </c>
      <c r="G382" s="6">
        <v>257</v>
      </c>
    </row>
    <row r="383" spans="1:10" x14ac:dyDescent="0.25">
      <c r="A383" s="80">
        <v>44607</v>
      </c>
      <c r="B383" s="6">
        <v>14</v>
      </c>
      <c r="C383" s="54">
        <f t="shared" ref="C383" si="147">C382+B383-D383</f>
        <v>36</v>
      </c>
      <c r="D383" s="6">
        <v>14</v>
      </c>
      <c r="E383" s="54">
        <v>7104</v>
      </c>
      <c r="F383" s="54">
        <f t="shared" ref="F383" si="148">C383+E383+G383</f>
        <v>7356</v>
      </c>
      <c r="G383" s="6">
        <v>216</v>
      </c>
    </row>
    <row r="384" spans="1:10" x14ac:dyDescent="0.25">
      <c r="A384" s="80">
        <v>44608</v>
      </c>
      <c r="B384" s="6">
        <v>25</v>
      </c>
      <c r="C384" s="54">
        <f t="shared" ref="C384" si="149">C383+B384-D384</f>
        <v>47</v>
      </c>
      <c r="D384" s="6">
        <v>14</v>
      </c>
      <c r="E384" s="54">
        <v>7104</v>
      </c>
      <c r="F384" s="54">
        <f t="shared" ref="F384" si="150">C384+E384+G384</f>
        <v>7368</v>
      </c>
      <c r="G384" s="6">
        <v>217</v>
      </c>
    </row>
    <row r="385" spans="1:12" x14ac:dyDescent="0.25">
      <c r="A385" s="80">
        <v>44609</v>
      </c>
      <c r="B385" s="6">
        <v>32</v>
      </c>
      <c r="C385" s="54">
        <f t="shared" ref="C385" si="151">C384+B385-D385</f>
        <v>51</v>
      </c>
      <c r="D385" s="6">
        <v>28</v>
      </c>
      <c r="E385" s="54">
        <v>7180</v>
      </c>
      <c r="F385" s="54">
        <f t="shared" ref="F385" si="152">C385+E385+G385</f>
        <v>7407</v>
      </c>
      <c r="G385" s="6">
        <v>176</v>
      </c>
    </row>
    <row r="386" spans="1:12" x14ac:dyDescent="0.25">
      <c r="A386" s="80">
        <v>44610</v>
      </c>
      <c r="B386" s="6">
        <v>21</v>
      </c>
      <c r="C386" s="54">
        <f t="shared" ref="C386" si="153">C385+B386-D386</f>
        <v>51</v>
      </c>
      <c r="D386" s="6">
        <v>21</v>
      </c>
      <c r="E386" s="54">
        <v>7179</v>
      </c>
      <c r="F386" s="54">
        <f t="shared" ref="F386" si="154">C386+E386+G386</f>
        <v>7409</v>
      </c>
      <c r="G386" s="6">
        <v>179</v>
      </c>
    </row>
    <row r="387" spans="1:12" x14ac:dyDescent="0.25">
      <c r="A387" s="80">
        <v>44611</v>
      </c>
      <c r="B387" s="6">
        <v>22</v>
      </c>
      <c r="C387" s="54">
        <f t="shared" ref="C387" si="155">C386+B387-D387</f>
        <v>47</v>
      </c>
      <c r="D387" s="6">
        <v>26</v>
      </c>
      <c r="E387" s="54">
        <v>7180</v>
      </c>
      <c r="F387" s="54">
        <f t="shared" ref="F387" si="156">C387+E387+G387</f>
        <v>7422</v>
      </c>
      <c r="G387" s="6">
        <v>195</v>
      </c>
    </row>
    <row r="388" spans="1:12" x14ac:dyDescent="0.25">
      <c r="A388" s="80">
        <v>44612</v>
      </c>
      <c r="B388" s="6">
        <v>15</v>
      </c>
      <c r="C388" s="54">
        <f t="shared" ref="C388" si="157">C387+B388-D388</f>
        <v>42</v>
      </c>
      <c r="D388" s="6">
        <v>20</v>
      </c>
      <c r="E388" s="54">
        <v>7181</v>
      </c>
      <c r="F388" s="54">
        <f t="shared" ref="F388" si="158">C388+E388+G388</f>
        <v>7410</v>
      </c>
      <c r="G388" s="6">
        <v>187</v>
      </c>
    </row>
    <row r="389" spans="1:12" x14ac:dyDescent="0.25">
      <c r="A389" s="80">
        <v>44613</v>
      </c>
      <c r="B389" s="6">
        <v>0</v>
      </c>
      <c r="C389" s="54">
        <f t="shared" ref="C389" si="159">C388+B389-D389</f>
        <v>42</v>
      </c>
      <c r="D389" s="6">
        <v>0</v>
      </c>
      <c r="E389" s="54">
        <v>7181</v>
      </c>
      <c r="F389" s="54">
        <f t="shared" ref="F389" si="160">C389+E389+G389</f>
        <v>7410</v>
      </c>
      <c r="G389" s="6">
        <v>187</v>
      </c>
      <c r="L389" s="100"/>
    </row>
    <row r="390" spans="1:12" x14ac:dyDescent="0.25">
      <c r="A390" s="80">
        <v>44614</v>
      </c>
      <c r="B390" s="6">
        <v>45</v>
      </c>
      <c r="C390" s="54">
        <f t="shared" ref="C390" si="161">C389+B390-D390</f>
        <v>69</v>
      </c>
      <c r="D390" s="6">
        <v>18</v>
      </c>
      <c r="E390" s="54">
        <v>7205</v>
      </c>
      <c r="F390" s="54">
        <f t="shared" ref="F390" si="162">C390+E390+G390</f>
        <v>7438</v>
      </c>
      <c r="G390" s="6">
        <v>164</v>
      </c>
    </row>
    <row r="391" spans="1:12" x14ac:dyDescent="0.25">
      <c r="A391" s="80">
        <v>44615</v>
      </c>
      <c r="B391" s="6">
        <v>27</v>
      </c>
      <c r="C391" s="54">
        <f t="shared" ref="C391" si="163">C390+B391-D391</f>
        <v>56</v>
      </c>
      <c r="D391" s="6">
        <v>40</v>
      </c>
      <c r="E391" s="54">
        <v>7212</v>
      </c>
      <c r="F391" s="54">
        <f t="shared" ref="F391" si="164">C391+E391+G391</f>
        <v>7450</v>
      </c>
      <c r="G391" s="6">
        <v>182</v>
      </c>
      <c r="I391" s="108"/>
      <c r="J391" s="109"/>
      <c r="L391" s="100"/>
    </row>
    <row r="392" spans="1:12" x14ac:dyDescent="0.25">
      <c r="A392" s="80">
        <v>44616</v>
      </c>
      <c r="B392" s="6">
        <v>25</v>
      </c>
      <c r="C392" s="54">
        <f t="shared" ref="C392" si="165">C391+B392-D392</f>
        <v>74</v>
      </c>
      <c r="D392" s="6">
        <v>7</v>
      </c>
      <c r="E392" s="54">
        <v>7214</v>
      </c>
      <c r="F392" s="54">
        <f t="shared" ref="F392" si="166">C392+E392+G392</f>
        <v>7472</v>
      </c>
      <c r="G392" s="6">
        <v>184</v>
      </c>
      <c r="I392" s="108"/>
      <c r="J392" s="109"/>
      <c r="K392" s="100"/>
      <c r="L392" s="100"/>
    </row>
    <row r="393" spans="1:12" x14ac:dyDescent="0.25">
      <c r="A393" s="80">
        <v>44617</v>
      </c>
      <c r="B393" s="6">
        <v>21</v>
      </c>
      <c r="C393" s="54">
        <f t="shared" ref="C393" si="167">C392+B393-D393</f>
        <v>79</v>
      </c>
      <c r="D393" s="6">
        <v>16</v>
      </c>
      <c r="E393" s="54">
        <v>7223</v>
      </c>
      <c r="F393" s="54">
        <f t="shared" ref="F393" si="168">C393+E393+G393</f>
        <v>7470</v>
      </c>
      <c r="G393" s="6">
        <v>168</v>
      </c>
      <c r="I393" s="110"/>
      <c r="J393" s="111"/>
      <c r="K393" s="100"/>
      <c r="L393" s="100"/>
    </row>
    <row r="394" spans="1:12" x14ac:dyDescent="0.25">
      <c r="A394" s="80">
        <v>44618</v>
      </c>
      <c r="B394" s="6">
        <v>7</v>
      </c>
      <c r="C394" s="54">
        <f t="shared" ref="C394" si="169">C393+B394-D394</f>
        <v>63</v>
      </c>
      <c r="D394" s="6">
        <v>23</v>
      </c>
      <c r="E394" s="54">
        <v>7242</v>
      </c>
      <c r="F394" s="54">
        <f t="shared" ref="F394" si="170">C394+E394+G394</f>
        <v>7452</v>
      </c>
      <c r="G394" s="6">
        <v>147</v>
      </c>
      <c r="I394" s="112"/>
      <c r="J394" s="113"/>
    </row>
    <row r="395" spans="1:12" x14ac:dyDescent="0.25">
      <c r="A395" s="80">
        <v>44619</v>
      </c>
      <c r="B395" s="6">
        <v>7</v>
      </c>
      <c r="C395" s="54">
        <f t="shared" ref="C395" si="171">C394+B395-D395</f>
        <v>64</v>
      </c>
      <c r="D395" s="6">
        <v>6</v>
      </c>
      <c r="E395" s="54">
        <v>7249</v>
      </c>
      <c r="F395" s="54">
        <f t="shared" ref="F395" si="172">C395+E395+G395</f>
        <v>7470</v>
      </c>
      <c r="G395" s="6">
        <v>157</v>
      </c>
      <c r="I395" s="112"/>
      <c r="J395" s="113"/>
    </row>
    <row r="396" spans="1:12" x14ac:dyDescent="0.25">
      <c r="A396" s="80">
        <v>44620</v>
      </c>
      <c r="B396" s="6">
        <v>9</v>
      </c>
      <c r="C396" s="54">
        <f t="shared" ref="C396" si="173">C395+B396-D396</f>
        <v>44</v>
      </c>
      <c r="D396" s="6">
        <v>29</v>
      </c>
      <c r="E396" s="54">
        <v>7265</v>
      </c>
      <c r="F396" s="54">
        <f t="shared" ref="F396" si="174">C396+E396+G396</f>
        <v>7473</v>
      </c>
      <c r="G396" s="6">
        <v>164</v>
      </c>
      <c r="I396" s="112"/>
      <c r="J396" s="113"/>
    </row>
    <row r="397" spans="1:12" x14ac:dyDescent="0.25">
      <c r="A397" s="80">
        <v>44621</v>
      </c>
      <c r="B397" s="6">
        <v>23</v>
      </c>
      <c r="C397" s="54">
        <f t="shared" ref="C397" si="175">C396+B397-D397</f>
        <v>43</v>
      </c>
      <c r="D397" s="6">
        <v>24</v>
      </c>
      <c r="E397" s="54">
        <v>7292</v>
      </c>
      <c r="F397" s="54">
        <f t="shared" ref="F397" si="176">C397+E397+G397</f>
        <v>7487</v>
      </c>
      <c r="G397" s="6">
        <v>152</v>
      </c>
      <c r="I397" s="115"/>
      <c r="J397" s="116"/>
    </row>
    <row r="398" spans="1:12" x14ac:dyDescent="0.25">
      <c r="A398" s="80">
        <v>44622</v>
      </c>
      <c r="B398" s="6">
        <v>18</v>
      </c>
      <c r="C398" s="54">
        <f t="shared" ref="C398" si="177">C397+B398-D398</f>
        <v>57</v>
      </c>
      <c r="D398" s="6">
        <v>4</v>
      </c>
      <c r="E398" s="54">
        <v>7310</v>
      </c>
      <c r="F398" s="54">
        <f t="shared" ref="F398" si="178">C398+E398+G398</f>
        <v>7492</v>
      </c>
      <c r="G398" s="6">
        <v>125</v>
      </c>
      <c r="I398" s="112"/>
      <c r="J398" s="113"/>
    </row>
    <row r="399" spans="1:12" x14ac:dyDescent="0.25">
      <c r="A399" s="80">
        <v>44623</v>
      </c>
      <c r="B399" s="6">
        <v>0</v>
      </c>
      <c r="C399" s="54">
        <f t="shared" ref="C399" si="179">C398+B399-D399</f>
        <v>57</v>
      </c>
      <c r="D399" s="6">
        <v>0</v>
      </c>
      <c r="E399" s="54">
        <v>7310</v>
      </c>
      <c r="F399" s="54">
        <f t="shared" ref="F399" si="180">C399+E399+G399</f>
        <v>7493</v>
      </c>
      <c r="G399" s="6">
        <v>126</v>
      </c>
      <c r="I399" s="115"/>
      <c r="J399" s="116"/>
    </row>
    <row r="400" spans="1:12" x14ac:dyDescent="0.25">
      <c r="A400" s="80">
        <v>44624</v>
      </c>
      <c r="B400" s="6">
        <v>0</v>
      </c>
      <c r="C400" s="54">
        <f t="shared" ref="C400" si="181">C399+B400-D400</f>
        <v>57</v>
      </c>
      <c r="D400" s="6">
        <v>0</v>
      </c>
      <c r="E400" s="54">
        <v>7310</v>
      </c>
      <c r="F400" s="54">
        <f t="shared" ref="F400" si="182">C400+E400+G400</f>
        <v>7494</v>
      </c>
      <c r="G400" s="6">
        <v>127</v>
      </c>
    </row>
    <row r="401" spans="1:11" x14ac:dyDescent="0.25">
      <c r="A401" s="80">
        <v>44625</v>
      </c>
      <c r="B401" s="6">
        <v>0</v>
      </c>
      <c r="C401" s="54">
        <f t="shared" ref="C401" si="183">C400+B401-D401</f>
        <v>57</v>
      </c>
      <c r="D401" s="6">
        <v>0</v>
      </c>
      <c r="E401" s="54">
        <v>7310</v>
      </c>
      <c r="F401" s="54">
        <f t="shared" ref="F401" si="184">C401+E401+G401</f>
        <v>7495</v>
      </c>
      <c r="G401" s="6">
        <v>128</v>
      </c>
    </row>
    <row r="402" spans="1:11" x14ac:dyDescent="0.25">
      <c r="A402" s="80">
        <v>44626</v>
      </c>
      <c r="B402" s="6">
        <v>0</v>
      </c>
      <c r="C402" s="54">
        <f t="shared" ref="C402" si="185">C401+B402-D402</f>
        <v>57</v>
      </c>
      <c r="D402" s="6">
        <v>0</v>
      </c>
      <c r="E402" s="54">
        <v>7310</v>
      </c>
      <c r="F402" s="54">
        <f t="shared" ref="F402" si="186">C402+E402+G402</f>
        <v>7496</v>
      </c>
      <c r="G402" s="6">
        <v>129</v>
      </c>
    </row>
    <row r="403" spans="1:11" x14ac:dyDescent="0.25">
      <c r="A403" s="80">
        <v>44627</v>
      </c>
      <c r="B403" s="6">
        <v>0</v>
      </c>
      <c r="C403" s="54">
        <f t="shared" ref="C403" si="187">C402+B403-D403</f>
        <v>57</v>
      </c>
      <c r="D403" s="6">
        <v>0</v>
      </c>
      <c r="E403" s="54">
        <v>7310</v>
      </c>
      <c r="F403" s="54">
        <f t="shared" ref="F403" si="188">C403+E403+G403</f>
        <v>7497</v>
      </c>
      <c r="G403" s="6">
        <v>130</v>
      </c>
    </row>
    <row r="404" spans="1:11" x14ac:dyDescent="0.25">
      <c r="A404" s="80">
        <v>44628</v>
      </c>
      <c r="B404" s="6">
        <v>0</v>
      </c>
      <c r="C404" s="54">
        <f t="shared" ref="C404" si="189">C403+B404-D404</f>
        <v>57</v>
      </c>
      <c r="D404" s="6">
        <v>0</v>
      </c>
      <c r="E404" s="54">
        <v>7310</v>
      </c>
      <c r="F404" s="54">
        <f t="shared" ref="F404" si="190">C404+E404+G404</f>
        <v>7498</v>
      </c>
      <c r="G404" s="6">
        <v>131</v>
      </c>
    </row>
    <row r="405" spans="1:11" x14ac:dyDescent="0.25">
      <c r="A405" s="80">
        <v>44629</v>
      </c>
      <c r="B405" s="6">
        <v>0</v>
      </c>
      <c r="C405" s="54">
        <f t="shared" ref="C405" si="191">C404+B405-D405</f>
        <v>57</v>
      </c>
      <c r="D405" s="6">
        <v>0</v>
      </c>
      <c r="E405" s="54">
        <v>7310</v>
      </c>
      <c r="F405" s="54">
        <f t="shared" ref="F405" si="192">C405+E405+G405</f>
        <v>7499</v>
      </c>
      <c r="G405" s="6">
        <v>132</v>
      </c>
    </row>
    <row r="406" spans="1:11" x14ac:dyDescent="0.25">
      <c r="A406" s="80">
        <v>44630</v>
      </c>
      <c r="B406" s="6">
        <v>0</v>
      </c>
      <c r="C406" s="54">
        <f t="shared" ref="C406" si="193">C405+B406-D406</f>
        <v>57</v>
      </c>
      <c r="D406" s="6">
        <v>0</v>
      </c>
      <c r="E406" s="54">
        <v>7310</v>
      </c>
      <c r="F406" s="54">
        <f t="shared" ref="F406" si="194">C406+E406+G406</f>
        <v>7500</v>
      </c>
      <c r="G406" s="6">
        <v>133</v>
      </c>
      <c r="I406" s="108"/>
      <c r="J406" s="108"/>
      <c r="K406" s="109"/>
    </row>
    <row r="407" spans="1:11" x14ac:dyDescent="0.25">
      <c r="A407" s="80">
        <v>44631</v>
      </c>
      <c r="B407" s="6">
        <v>0</v>
      </c>
      <c r="C407" s="54">
        <f t="shared" ref="C407" si="195">C406+B407-D407</f>
        <v>57</v>
      </c>
      <c r="D407" s="6">
        <v>0</v>
      </c>
      <c r="E407" s="54">
        <v>7310</v>
      </c>
      <c r="F407" s="54">
        <f t="shared" ref="F407" si="196">C407+E407+G407</f>
        <v>7501</v>
      </c>
      <c r="G407" s="6">
        <v>134</v>
      </c>
      <c r="I407" s="110"/>
      <c r="J407" s="110"/>
      <c r="K407" s="111"/>
    </row>
    <row r="408" spans="1:11" x14ac:dyDescent="0.25">
      <c r="A408" s="80">
        <v>44632</v>
      </c>
      <c r="B408" s="6">
        <v>0</v>
      </c>
      <c r="C408" s="54">
        <f t="shared" ref="C408" si="197">C407+B408-D408</f>
        <v>57</v>
      </c>
      <c r="D408" s="6">
        <v>0</v>
      </c>
      <c r="E408" s="54">
        <v>7310</v>
      </c>
      <c r="F408" s="54">
        <f t="shared" ref="F408" si="198">C408+E408+G408</f>
        <v>7502</v>
      </c>
      <c r="G408" s="6">
        <v>135</v>
      </c>
      <c r="I408" s="108"/>
      <c r="J408" s="109"/>
      <c r="K408" s="113"/>
    </row>
    <row r="409" spans="1:11" x14ac:dyDescent="0.25">
      <c r="A409" s="80">
        <v>44633</v>
      </c>
      <c r="B409" s="6">
        <v>0</v>
      </c>
      <c r="C409" s="54">
        <f t="shared" ref="C409" si="199">C408+B409-D409</f>
        <v>57</v>
      </c>
      <c r="D409" s="6">
        <v>0</v>
      </c>
      <c r="E409" s="54">
        <v>7310</v>
      </c>
      <c r="F409" s="54">
        <f t="shared" ref="F409" si="200">C409+E409+G409</f>
        <v>7503</v>
      </c>
      <c r="G409" s="6">
        <v>136</v>
      </c>
      <c r="I409" s="110"/>
      <c r="J409" s="111"/>
      <c r="K409" s="113"/>
    </row>
    <row r="410" spans="1:11" x14ac:dyDescent="0.25">
      <c r="A410" s="80">
        <v>44634</v>
      </c>
      <c r="B410" s="6">
        <v>0</v>
      </c>
      <c r="C410" s="54">
        <f t="shared" ref="C410" si="201">C409+B410-D410</f>
        <v>57</v>
      </c>
      <c r="D410" s="6">
        <v>0</v>
      </c>
      <c r="E410" s="54">
        <v>7310</v>
      </c>
      <c r="F410" s="54">
        <f t="shared" ref="F410" si="202">C410+E410+G410</f>
        <v>7504</v>
      </c>
      <c r="G410" s="6">
        <v>137</v>
      </c>
      <c r="I410" s="108"/>
      <c r="J410" s="109"/>
      <c r="K410" s="113"/>
    </row>
    <row r="411" spans="1:11" x14ac:dyDescent="0.25">
      <c r="A411" s="80">
        <v>44635</v>
      </c>
      <c r="B411" s="6">
        <v>5</v>
      </c>
      <c r="C411" s="54">
        <f t="shared" ref="C411" si="203">C410+B411-D411</f>
        <v>8</v>
      </c>
      <c r="D411" s="6">
        <v>54</v>
      </c>
      <c r="E411" s="54">
        <v>7425</v>
      </c>
      <c r="F411" s="54">
        <f t="shared" ref="F411" si="204">C411+E411+G411</f>
        <v>7468</v>
      </c>
      <c r="G411" s="6">
        <v>35</v>
      </c>
      <c r="I411" s="108"/>
      <c r="J411" s="109"/>
      <c r="K411" s="116"/>
    </row>
    <row r="412" spans="1:11" x14ac:dyDescent="0.25">
      <c r="A412" s="80">
        <v>44636</v>
      </c>
      <c r="B412" s="6">
        <v>1</v>
      </c>
      <c r="C412" s="54">
        <f t="shared" ref="C412" si="205">C411+B412-D412</f>
        <v>6</v>
      </c>
      <c r="D412" s="6">
        <v>3</v>
      </c>
      <c r="E412" s="54">
        <v>7394</v>
      </c>
      <c r="F412" s="54">
        <f t="shared" ref="F412" si="206">C412+E412+G412</f>
        <v>7433</v>
      </c>
      <c r="G412" s="6">
        <v>33</v>
      </c>
      <c r="I412" s="110"/>
      <c r="J412" s="111"/>
    </row>
    <row r="413" spans="1:11" x14ac:dyDescent="0.25">
      <c r="A413" s="80">
        <v>44637</v>
      </c>
      <c r="B413" s="6">
        <v>1</v>
      </c>
      <c r="C413" s="54">
        <f t="shared" ref="C413" si="207">C412+B413-D413</f>
        <v>4</v>
      </c>
      <c r="D413" s="6">
        <v>3</v>
      </c>
      <c r="E413" s="54">
        <v>7387</v>
      </c>
      <c r="F413" s="54">
        <f t="shared" ref="F413" si="208">C413+E413+G413</f>
        <v>7419</v>
      </c>
      <c r="G413" s="6">
        <v>28</v>
      </c>
      <c r="I413" s="112"/>
      <c r="J413" s="113"/>
    </row>
    <row r="414" spans="1:11" x14ac:dyDescent="0.25">
      <c r="A414" s="80">
        <v>44638</v>
      </c>
      <c r="B414" s="6">
        <v>0</v>
      </c>
      <c r="C414" s="54">
        <f t="shared" ref="C414" si="209">C413+B414-D414</f>
        <v>3</v>
      </c>
      <c r="D414" s="6">
        <v>1</v>
      </c>
      <c r="E414" s="54">
        <v>7388</v>
      </c>
      <c r="F414" s="54">
        <f t="shared" ref="F414" si="210">C414+E414+G414</f>
        <v>7414</v>
      </c>
      <c r="G414" s="6">
        <v>23</v>
      </c>
      <c r="I414" s="112"/>
      <c r="J414" s="113"/>
    </row>
    <row r="415" spans="1:11" x14ac:dyDescent="0.25">
      <c r="A415" s="80">
        <v>44639</v>
      </c>
      <c r="B415" s="6">
        <v>0</v>
      </c>
      <c r="C415" s="54">
        <f t="shared" ref="C415" si="211">C414+B415-D415</f>
        <v>2</v>
      </c>
      <c r="D415" s="6">
        <v>1</v>
      </c>
      <c r="E415" s="54">
        <v>7381</v>
      </c>
      <c r="F415" s="54">
        <f t="shared" ref="F415" si="212">C415+E415+G415</f>
        <v>7405</v>
      </c>
      <c r="G415" s="6">
        <v>22</v>
      </c>
      <c r="I415" s="112"/>
      <c r="J415" s="113"/>
    </row>
    <row r="416" spans="1:11" x14ac:dyDescent="0.25">
      <c r="A416" s="80">
        <v>44640</v>
      </c>
      <c r="B416" s="6">
        <v>0</v>
      </c>
      <c r="C416" s="54">
        <f t="shared" ref="C416" si="213">C415+B416-D416</f>
        <v>2</v>
      </c>
      <c r="D416" s="6">
        <v>0</v>
      </c>
      <c r="E416" s="54">
        <v>7379</v>
      </c>
      <c r="F416" s="54">
        <f t="shared" ref="F416" si="214">C416+E416+G416</f>
        <v>7401</v>
      </c>
      <c r="G416" s="6">
        <v>20</v>
      </c>
      <c r="I416" s="115"/>
      <c r="J416" s="116"/>
    </row>
    <row r="417" spans="1:11" x14ac:dyDescent="0.25">
      <c r="A417" s="80">
        <v>44641</v>
      </c>
      <c r="B417" s="6">
        <v>2</v>
      </c>
      <c r="C417" s="54">
        <f t="shared" ref="C417" si="215">C416+B417-D417</f>
        <v>2</v>
      </c>
      <c r="D417" s="6">
        <v>2</v>
      </c>
      <c r="E417" s="54">
        <v>7372</v>
      </c>
      <c r="F417" s="54">
        <f t="shared" ref="F417" si="216">C417+E417+G417</f>
        <v>7396</v>
      </c>
      <c r="G417" s="6">
        <v>22</v>
      </c>
      <c r="I417" s="112"/>
      <c r="J417" s="116"/>
    </row>
    <row r="418" spans="1:11" x14ac:dyDescent="0.25">
      <c r="A418" s="80">
        <v>44642</v>
      </c>
      <c r="B418" s="6">
        <v>0</v>
      </c>
      <c r="C418" s="54">
        <f t="shared" ref="C418" si="217">C417+B418-D418</f>
        <v>1</v>
      </c>
      <c r="D418" s="6">
        <v>1</v>
      </c>
      <c r="E418" s="54">
        <v>7374</v>
      </c>
      <c r="F418" s="54">
        <f t="shared" ref="F418" si="218">C418+E418+G418</f>
        <v>7396</v>
      </c>
      <c r="G418" s="6">
        <v>21</v>
      </c>
      <c r="I418" s="108"/>
      <c r="J418" s="109"/>
    </row>
    <row r="419" spans="1:11" x14ac:dyDescent="0.25">
      <c r="A419" s="80">
        <v>44643</v>
      </c>
      <c r="B419" s="6">
        <v>0</v>
      </c>
      <c r="C419" s="54">
        <f t="shared" ref="C419" si="219">C418+B419-D419</f>
        <v>0</v>
      </c>
      <c r="D419" s="6">
        <v>1</v>
      </c>
      <c r="E419" s="54">
        <v>7378</v>
      </c>
      <c r="F419" s="54">
        <f t="shared" ref="F419" si="220">C419+E419+G419</f>
        <v>7392</v>
      </c>
      <c r="G419" s="6">
        <v>14</v>
      </c>
      <c r="I419" s="108"/>
      <c r="J419" s="109"/>
    </row>
    <row r="420" spans="1:11" x14ac:dyDescent="0.25">
      <c r="A420" s="80">
        <v>44644</v>
      </c>
      <c r="B420" s="6">
        <v>1</v>
      </c>
      <c r="C420" s="54">
        <f t="shared" ref="C420" si="221">C419+B420-D420</f>
        <v>1</v>
      </c>
      <c r="D420" s="6">
        <v>0</v>
      </c>
      <c r="E420" s="54">
        <v>7376</v>
      </c>
      <c r="F420" s="54">
        <f t="shared" ref="F420" si="222">C420+E420+G420</f>
        <v>7391</v>
      </c>
      <c r="G420" s="6">
        <v>14</v>
      </c>
      <c r="I420" s="110"/>
      <c r="J420" s="111"/>
    </row>
    <row r="421" spans="1:11" x14ac:dyDescent="0.25">
      <c r="A421" s="80">
        <v>44645</v>
      </c>
      <c r="B421" s="6">
        <v>2</v>
      </c>
      <c r="C421" s="54">
        <f t="shared" ref="C421" si="223">C420+B421-D421</f>
        <v>2</v>
      </c>
      <c r="D421" s="6">
        <v>1</v>
      </c>
      <c r="E421" s="54">
        <v>7376</v>
      </c>
      <c r="F421" s="54">
        <f t="shared" ref="F421" si="224">C421+E421+G421</f>
        <v>7389</v>
      </c>
      <c r="G421" s="6">
        <v>11</v>
      </c>
      <c r="I421" s="108"/>
      <c r="J421" s="109"/>
    </row>
    <row r="422" spans="1:11" x14ac:dyDescent="0.25">
      <c r="A422" s="80">
        <v>44646</v>
      </c>
      <c r="B422" s="6">
        <v>1</v>
      </c>
      <c r="C422" s="54">
        <f t="shared" ref="C422" si="225">C421+B422-D422</f>
        <v>3</v>
      </c>
      <c r="D422" s="6">
        <v>0</v>
      </c>
      <c r="E422" s="54">
        <v>7376</v>
      </c>
      <c r="F422" s="54">
        <f t="shared" ref="F422" si="226">C422+E422+G422</f>
        <v>7392</v>
      </c>
      <c r="G422" s="6">
        <v>13</v>
      </c>
      <c r="I422" s="108"/>
      <c r="J422" s="109"/>
    </row>
    <row r="423" spans="1:11" x14ac:dyDescent="0.25">
      <c r="A423" s="80">
        <v>44647</v>
      </c>
      <c r="B423" s="6">
        <v>0</v>
      </c>
      <c r="C423" s="54">
        <f t="shared" ref="C423" si="227">C422+B423-D423</f>
        <v>1</v>
      </c>
      <c r="D423" s="6">
        <v>2</v>
      </c>
      <c r="E423" s="54">
        <v>7376</v>
      </c>
      <c r="F423" s="54">
        <f t="shared" ref="F423" si="228">C423+E423+G423</f>
        <v>7389</v>
      </c>
      <c r="G423" s="6">
        <v>12</v>
      </c>
      <c r="I423" s="108"/>
      <c r="J423" s="109"/>
    </row>
    <row r="424" spans="1:11" x14ac:dyDescent="0.25">
      <c r="A424" s="80">
        <v>44648</v>
      </c>
      <c r="B424" s="6">
        <v>0</v>
      </c>
      <c r="C424" s="54">
        <f t="shared" ref="C424" si="229">C423+B424-D424</f>
        <v>1</v>
      </c>
      <c r="D424" s="6">
        <v>0</v>
      </c>
      <c r="E424" s="54">
        <v>7377</v>
      </c>
      <c r="F424" s="54">
        <f t="shared" ref="F424" si="230">C424+E424+G424</f>
        <v>7388</v>
      </c>
      <c r="G424" s="6">
        <v>10</v>
      </c>
      <c r="I424" s="110"/>
      <c r="J424" s="111"/>
    </row>
    <row r="425" spans="1:11" x14ac:dyDescent="0.25">
      <c r="A425" s="80">
        <v>44649</v>
      </c>
      <c r="B425" s="6">
        <v>1</v>
      </c>
      <c r="C425" s="54">
        <f t="shared" ref="C425" si="231">C424+B425-D425</f>
        <v>2</v>
      </c>
      <c r="D425" s="6">
        <v>0</v>
      </c>
      <c r="E425" s="54">
        <v>7382</v>
      </c>
      <c r="F425" s="54">
        <f t="shared" ref="F425" si="232">C425+E425+G425</f>
        <v>7389</v>
      </c>
      <c r="G425" s="6">
        <v>5</v>
      </c>
      <c r="I425" s="108"/>
      <c r="J425" s="108"/>
      <c r="K425" s="109"/>
    </row>
    <row r="426" spans="1:11" x14ac:dyDescent="0.25">
      <c r="A426" s="80">
        <v>44650</v>
      </c>
      <c r="B426" s="6">
        <v>0</v>
      </c>
      <c r="C426" s="54">
        <f t="shared" ref="C426" si="233">C425+B426-D426</f>
        <v>1</v>
      </c>
      <c r="D426" s="6">
        <v>1</v>
      </c>
      <c r="E426" s="54">
        <v>7380</v>
      </c>
      <c r="F426" s="54">
        <f t="shared" ref="F426" si="234">C426+E426+G426</f>
        <v>7388</v>
      </c>
      <c r="G426" s="6">
        <v>7</v>
      </c>
      <c r="I426" s="110"/>
      <c r="J426" s="110"/>
      <c r="K426" s="111"/>
    </row>
    <row r="427" spans="1:11" x14ac:dyDescent="0.25">
      <c r="A427" s="80">
        <v>44651</v>
      </c>
      <c r="B427" s="6">
        <v>0</v>
      </c>
      <c r="C427" s="54">
        <f t="shared" ref="C427" si="235">C426+B427-D427</f>
        <v>0</v>
      </c>
      <c r="D427" s="6">
        <v>1</v>
      </c>
      <c r="E427" s="54">
        <v>7385</v>
      </c>
      <c r="F427" s="54">
        <f t="shared" ref="F427" si="236">C427+E427+G427</f>
        <v>7388</v>
      </c>
      <c r="G427" s="6">
        <v>3</v>
      </c>
      <c r="I427" s="112"/>
      <c r="J427" s="112"/>
      <c r="K427" s="113"/>
    </row>
    <row r="428" spans="1:11" x14ac:dyDescent="0.25">
      <c r="A428" s="80">
        <v>44652</v>
      </c>
      <c r="B428" s="6">
        <v>0</v>
      </c>
      <c r="C428" s="54">
        <f t="shared" ref="C428" si="237">C427+B428-D428</f>
        <v>0</v>
      </c>
      <c r="D428" s="6">
        <v>0</v>
      </c>
      <c r="E428" s="54">
        <v>7385</v>
      </c>
      <c r="F428" s="54">
        <f t="shared" ref="F428" si="238">C428+E428+G428</f>
        <v>7388</v>
      </c>
      <c r="G428" s="6">
        <v>3</v>
      </c>
      <c r="I428" s="108"/>
      <c r="J428" s="109"/>
      <c r="K428" s="113"/>
    </row>
    <row r="429" spans="1:11" x14ac:dyDescent="0.25">
      <c r="A429" s="80">
        <v>44653</v>
      </c>
      <c r="B429" s="6">
        <v>2</v>
      </c>
      <c r="C429" s="54">
        <f t="shared" ref="C429" si="239">C428+B429-D429</f>
        <v>2</v>
      </c>
      <c r="D429" s="6">
        <v>0</v>
      </c>
      <c r="E429" s="54">
        <v>7385</v>
      </c>
      <c r="F429" s="54">
        <f t="shared" ref="F429" si="240">C429+E429+G429</f>
        <v>7392</v>
      </c>
      <c r="G429" s="6">
        <v>5</v>
      </c>
      <c r="I429" s="108"/>
      <c r="J429" s="109"/>
      <c r="K429" s="113"/>
    </row>
    <row r="430" spans="1:11" x14ac:dyDescent="0.25">
      <c r="A430" s="80">
        <v>44654</v>
      </c>
      <c r="B430" s="6">
        <v>0</v>
      </c>
      <c r="C430" s="54">
        <f t="shared" ref="C430" si="241">C429+B430-D430</f>
        <v>2</v>
      </c>
      <c r="D430" s="6">
        <v>0</v>
      </c>
      <c r="E430" s="54">
        <v>7385</v>
      </c>
      <c r="F430" s="54">
        <f t="shared" ref="F430" si="242">C430+E430+G430</f>
        <v>7392</v>
      </c>
      <c r="G430" s="6">
        <v>5</v>
      </c>
      <c r="I430" s="117"/>
      <c r="J430" s="118"/>
      <c r="K430" s="116"/>
    </row>
    <row r="431" spans="1:11" x14ac:dyDescent="0.25">
      <c r="A431" s="80">
        <v>44655</v>
      </c>
      <c r="B431" s="6">
        <v>1</v>
      </c>
      <c r="C431" s="54">
        <f t="shared" ref="C431" si="243">C430+B431-D431</f>
        <v>3</v>
      </c>
      <c r="D431" s="6">
        <v>0</v>
      </c>
      <c r="E431" s="54">
        <v>7385</v>
      </c>
      <c r="F431" s="54">
        <f t="shared" ref="F431" si="244">C431+E431+G431</f>
        <v>7393</v>
      </c>
      <c r="G431" s="6">
        <v>5</v>
      </c>
      <c r="I431" s="108"/>
      <c r="J431" s="109"/>
    </row>
    <row r="432" spans="1:11" x14ac:dyDescent="0.25">
      <c r="A432" s="80">
        <v>44656</v>
      </c>
      <c r="B432" s="6">
        <v>1</v>
      </c>
      <c r="C432" s="54">
        <f t="shared" ref="C432" si="245">C431+B432-D432</f>
        <v>3</v>
      </c>
      <c r="D432" s="6">
        <v>1</v>
      </c>
      <c r="E432" s="54">
        <v>7383</v>
      </c>
      <c r="F432" s="54">
        <f t="shared" ref="F432" si="246">C432+E432+G432</f>
        <v>7392</v>
      </c>
      <c r="G432" s="6">
        <v>6</v>
      </c>
      <c r="I432" s="110"/>
      <c r="J432" s="111"/>
    </row>
    <row r="433" spans="1:11" x14ac:dyDescent="0.25">
      <c r="A433" s="80">
        <v>44657</v>
      </c>
      <c r="B433" s="6">
        <v>1</v>
      </c>
      <c r="C433" s="54">
        <f t="shared" ref="C433" si="247">C432+B433-D433</f>
        <v>3</v>
      </c>
      <c r="D433" s="6">
        <v>1</v>
      </c>
      <c r="E433" s="54">
        <v>7384</v>
      </c>
      <c r="F433" s="54">
        <f t="shared" ref="F433" si="248">C433+E433+G433</f>
        <v>7392</v>
      </c>
      <c r="G433" s="6">
        <v>5</v>
      </c>
      <c r="I433" s="112"/>
      <c r="J433" s="113"/>
    </row>
    <row r="434" spans="1:11" x14ac:dyDescent="0.25">
      <c r="A434" s="80">
        <v>44658</v>
      </c>
      <c r="B434" s="6">
        <v>0</v>
      </c>
      <c r="C434" s="54">
        <f t="shared" ref="C434" si="249">C433+B434-D434</f>
        <v>1</v>
      </c>
      <c r="D434" s="6">
        <v>2</v>
      </c>
      <c r="E434" s="54">
        <v>7386</v>
      </c>
      <c r="F434" s="54">
        <f t="shared" ref="F434" si="250">C434+E434+G434</f>
        <v>7393</v>
      </c>
      <c r="G434" s="6">
        <v>6</v>
      </c>
      <c r="I434" s="108"/>
      <c r="J434" s="109"/>
    </row>
    <row r="435" spans="1:11" x14ac:dyDescent="0.25">
      <c r="A435" s="80">
        <v>44659</v>
      </c>
      <c r="B435" s="6">
        <v>1</v>
      </c>
      <c r="C435" s="54">
        <f t="shared" ref="C435" si="251">C434+B435-D435</f>
        <v>1</v>
      </c>
      <c r="D435" s="6">
        <v>1</v>
      </c>
      <c r="E435" s="54">
        <v>7387</v>
      </c>
      <c r="F435" s="54">
        <f t="shared" ref="F435" si="252">C435+E435+G435</f>
        <v>7394</v>
      </c>
      <c r="G435" s="6">
        <v>6</v>
      </c>
      <c r="I435" s="110"/>
      <c r="J435" s="111"/>
    </row>
    <row r="436" spans="1:11" x14ac:dyDescent="0.25">
      <c r="A436" s="80">
        <v>44660</v>
      </c>
      <c r="B436" s="6">
        <v>0</v>
      </c>
      <c r="C436" s="54">
        <f t="shared" ref="C436" si="253">C435+B436-D436</f>
        <v>0</v>
      </c>
      <c r="D436" s="6">
        <v>1</v>
      </c>
      <c r="E436" s="54">
        <v>7389</v>
      </c>
      <c r="F436" s="54">
        <f t="shared" ref="F436" si="254">C436+E436+G436</f>
        <v>7394</v>
      </c>
      <c r="G436" s="6">
        <v>5</v>
      </c>
      <c r="I436" s="108"/>
      <c r="J436" s="109"/>
    </row>
    <row r="437" spans="1:11" x14ac:dyDescent="0.25">
      <c r="A437" s="80">
        <v>44661</v>
      </c>
      <c r="B437" s="6">
        <v>0</v>
      </c>
      <c r="C437" s="54">
        <f t="shared" ref="C437" si="255">C436+B437-D437</f>
        <v>0</v>
      </c>
      <c r="D437" s="6">
        <v>0</v>
      </c>
      <c r="E437" s="54">
        <v>7389</v>
      </c>
      <c r="F437" s="54">
        <f t="shared" ref="F437" si="256">C437+E437+G437</f>
        <v>7394</v>
      </c>
      <c r="G437" s="6">
        <v>5</v>
      </c>
      <c r="I437" s="108"/>
      <c r="J437" s="109"/>
    </row>
    <row r="438" spans="1:11" x14ac:dyDescent="0.25">
      <c r="A438" s="80">
        <v>44662</v>
      </c>
      <c r="B438" s="6">
        <v>0</v>
      </c>
      <c r="C438" s="54">
        <f t="shared" ref="C438" si="257">C437+B438-D438</f>
        <v>0</v>
      </c>
      <c r="D438" s="6">
        <v>0</v>
      </c>
      <c r="E438" s="54">
        <v>7389</v>
      </c>
      <c r="F438" s="54">
        <f t="shared" ref="F438" si="258">C438+E438+G438</f>
        <v>7394</v>
      </c>
      <c r="G438" s="6">
        <v>5</v>
      </c>
      <c r="I438" s="110"/>
      <c r="J438" s="108"/>
      <c r="K438" s="109"/>
    </row>
    <row r="439" spans="1:11" x14ac:dyDescent="0.25">
      <c r="A439" s="80">
        <v>44663</v>
      </c>
      <c r="B439" s="6">
        <v>0</v>
      </c>
      <c r="C439" s="54">
        <f t="shared" ref="C439" si="259">C438+B439-D439</f>
        <v>0</v>
      </c>
      <c r="D439" s="6">
        <v>0</v>
      </c>
      <c r="E439" s="54">
        <v>7387</v>
      </c>
      <c r="F439" s="54">
        <f t="shared" ref="F439" si="260">C439+E439+G439</f>
        <v>7391</v>
      </c>
      <c r="G439" s="6">
        <v>4</v>
      </c>
      <c r="I439" s="112"/>
      <c r="J439" s="110"/>
      <c r="K439" s="111"/>
    </row>
    <row r="440" spans="1:11" x14ac:dyDescent="0.25">
      <c r="A440" s="80">
        <v>44664</v>
      </c>
      <c r="B440" s="6">
        <v>0</v>
      </c>
      <c r="C440" s="54">
        <f t="shared" ref="C440" si="261">C439+B440-D440</f>
        <v>0</v>
      </c>
      <c r="D440" s="6">
        <v>0</v>
      </c>
      <c r="E440" s="54">
        <v>7387</v>
      </c>
      <c r="F440" s="54">
        <f t="shared" ref="F440" si="262">C440+E440+G440</f>
        <v>7391</v>
      </c>
      <c r="G440" s="6">
        <v>4</v>
      </c>
      <c r="I440" s="112"/>
      <c r="J440" s="112"/>
      <c r="K440" s="113"/>
    </row>
    <row r="441" spans="1:11" x14ac:dyDescent="0.25">
      <c r="A441" s="80">
        <v>44665</v>
      </c>
      <c r="B441" s="6">
        <v>0</v>
      </c>
      <c r="C441" s="54">
        <f t="shared" ref="C441" si="263">C440+B441-D441</f>
        <v>0</v>
      </c>
      <c r="D441" s="6">
        <v>0</v>
      </c>
      <c r="E441" s="54">
        <v>7388</v>
      </c>
      <c r="F441" s="54">
        <f t="shared" ref="F441" si="264">C441+E441+G441</f>
        <v>7391</v>
      </c>
      <c r="G441" s="6">
        <v>3</v>
      </c>
      <c r="I441" s="108"/>
      <c r="J441" s="109"/>
      <c r="K441" s="113"/>
    </row>
    <row r="442" spans="1:11" x14ac:dyDescent="0.25">
      <c r="A442" s="80">
        <v>44666</v>
      </c>
      <c r="B442" s="6">
        <v>0</v>
      </c>
      <c r="C442" s="54">
        <f t="shared" ref="C442" si="265">C441+B442-D442</f>
        <v>0</v>
      </c>
      <c r="D442" s="6">
        <v>0</v>
      </c>
      <c r="E442" s="54">
        <v>7389</v>
      </c>
      <c r="F442" s="54">
        <f t="shared" ref="F442" si="266">C442+E442+G442</f>
        <v>7434</v>
      </c>
      <c r="G442" s="6">
        <v>45</v>
      </c>
      <c r="I442" s="108"/>
      <c r="J442" s="109"/>
      <c r="K442" s="116"/>
    </row>
    <row r="443" spans="1:11" x14ac:dyDescent="0.25">
      <c r="A443" s="80">
        <v>44667</v>
      </c>
      <c r="B443" s="6">
        <v>0</v>
      </c>
      <c r="C443" s="54">
        <f t="shared" ref="C443" si="267">C442+B443-D443</f>
        <v>0</v>
      </c>
      <c r="D443" s="6">
        <v>0</v>
      </c>
      <c r="E443" s="54">
        <v>7390</v>
      </c>
      <c r="F443" s="54">
        <f t="shared" ref="F443" si="268">C443+E443+G443</f>
        <v>7434</v>
      </c>
      <c r="G443" s="6">
        <v>44</v>
      </c>
      <c r="I443" s="108"/>
      <c r="J443" s="109"/>
    </row>
    <row r="444" spans="1:11" x14ac:dyDescent="0.25">
      <c r="A444" s="80">
        <v>44668</v>
      </c>
      <c r="B444" s="6">
        <v>0</v>
      </c>
      <c r="C444" s="54">
        <f t="shared" ref="C444" si="269">C443+B444-D444</f>
        <v>0</v>
      </c>
      <c r="D444" s="6">
        <v>0</v>
      </c>
      <c r="E444" s="54">
        <v>7389</v>
      </c>
      <c r="F444" s="54">
        <f t="shared" ref="F444" si="270">C444+E444+G444</f>
        <v>7434</v>
      </c>
      <c r="G444" s="6">
        <v>45</v>
      </c>
      <c r="I444" s="108"/>
      <c r="J444" s="109"/>
    </row>
    <row r="445" spans="1:11" x14ac:dyDescent="0.25">
      <c r="A445" s="80">
        <v>44669</v>
      </c>
      <c r="B445" s="6">
        <v>0</v>
      </c>
      <c r="C445" s="54">
        <f t="shared" ref="C445" si="271">C444+B445-D445</f>
        <v>0</v>
      </c>
      <c r="D445" s="6">
        <v>0</v>
      </c>
      <c r="E445" s="54">
        <v>7389</v>
      </c>
      <c r="F445" s="54">
        <f t="shared" ref="F445" si="272">C445+E445+G445</f>
        <v>7434</v>
      </c>
      <c r="G445" s="6">
        <v>45</v>
      </c>
      <c r="I445" s="110"/>
      <c r="J445" s="111"/>
    </row>
    <row r="446" spans="1:11" x14ac:dyDescent="0.25">
      <c r="A446" s="80">
        <v>44670</v>
      </c>
      <c r="B446" s="6">
        <v>0</v>
      </c>
      <c r="C446" s="54">
        <f t="shared" ref="C446" si="273">C445+B446-D446</f>
        <v>0</v>
      </c>
      <c r="D446" s="6">
        <v>0</v>
      </c>
      <c r="E446" s="54">
        <v>7388</v>
      </c>
      <c r="F446" s="54">
        <f t="shared" ref="F446" si="274">C446+E446+G446</f>
        <v>7434</v>
      </c>
      <c r="G446" s="6">
        <v>46</v>
      </c>
      <c r="I446" s="108"/>
      <c r="J446" s="109"/>
    </row>
    <row r="447" spans="1:11" x14ac:dyDescent="0.25">
      <c r="A447" s="80">
        <v>44671</v>
      </c>
      <c r="B447" s="6">
        <v>0</v>
      </c>
      <c r="C447" s="54">
        <f t="shared" ref="C447" si="275">C446+B447-D447</f>
        <v>0</v>
      </c>
      <c r="D447" s="6">
        <v>0</v>
      </c>
      <c r="E447" s="54">
        <v>7388</v>
      </c>
      <c r="F447" s="54">
        <f t="shared" ref="F447" si="276">C447+E447+G447</f>
        <v>7434</v>
      </c>
      <c r="G447" s="6">
        <v>46</v>
      </c>
      <c r="I447" s="108"/>
      <c r="J447" s="109"/>
    </row>
    <row r="448" spans="1:11" x14ac:dyDescent="0.25">
      <c r="A448" s="80">
        <v>44672</v>
      </c>
      <c r="B448" s="6">
        <v>1</v>
      </c>
      <c r="C448" s="54">
        <f t="shared" ref="C448" si="277">C447+B448-D448</f>
        <v>1</v>
      </c>
      <c r="D448" s="6">
        <v>0</v>
      </c>
      <c r="E448" s="54">
        <v>7389</v>
      </c>
      <c r="F448" s="54">
        <f t="shared" ref="F448" si="278">C448+E448+G448</f>
        <v>7473</v>
      </c>
      <c r="G448" s="6">
        <v>83</v>
      </c>
    </row>
    <row r="449" spans="1:11" x14ac:dyDescent="0.25">
      <c r="A449" s="80">
        <v>44673</v>
      </c>
      <c r="B449" s="6">
        <v>0</v>
      </c>
      <c r="C449" s="54">
        <f t="shared" ref="C449" si="279">C448+B449-D449</f>
        <v>0</v>
      </c>
      <c r="D449" s="6">
        <v>1</v>
      </c>
      <c r="E449" s="54">
        <v>7390</v>
      </c>
      <c r="F449" s="54">
        <f t="shared" ref="F449" si="280">C449+E449+G449</f>
        <v>7479</v>
      </c>
      <c r="G449" s="6">
        <v>89</v>
      </c>
    </row>
    <row r="450" spans="1:11" x14ac:dyDescent="0.25">
      <c r="A450" s="80">
        <v>44674</v>
      </c>
      <c r="B450" s="6">
        <v>0</v>
      </c>
      <c r="C450" s="54">
        <f t="shared" ref="C450" si="281">C449+B450-D450</f>
        <v>0</v>
      </c>
      <c r="D450" s="6">
        <v>0</v>
      </c>
      <c r="E450" s="54">
        <v>7391</v>
      </c>
      <c r="F450" s="54">
        <f t="shared" ref="F450" si="282">C450+E450+G450</f>
        <v>7479</v>
      </c>
      <c r="G450" s="6">
        <v>88</v>
      </c>
    </row>
    <row r="451" spans="1:11" x14ac:dyDescent="0.25">
      <c r="A451" s="80">
        <v>44675</v>
      </c>
      <c r="B451" s="6">
        <v>1</v>
      </c>
      <c r="C451" s="54">
        <f t="shared" ref="C451" si="283">C450+B451-D451</f>
        <v>1</v>
      </c>
      <c r="D451" s="6">
        <v>0</v>
      </c>
      <c r="E451" s="54">
        <v>7391</v>
      </c>
      <c r="F451" s="54">
        <f t="shared" ref="F451" si="284">C451+E451+G451</f>
        <v>7479</v>
      </c>
      <c r="G451" s="6">
        <v>87</v>
      </c>
    </row>
    <row r="452" spans="1:11" x14ac:dyDescent="0.25">
      <c r="A452" s="80">
        <v>44676</v>
      </c>
      <c r="B452" s="6">
        <v>0</v>
      </c>
      <c r="C452" s="54">
        <f t="shared" ref="C452" si="285">C451+B452-D452</f>
        <v>1</v>
      </c>
      <c r="D452" s="6">
        <v>0</v>
      </c>
      <c r="E452" s="54">
        <v>7401</v>
      </c>
      <c r="F452" s="54">
        <f t="shared" ref="F452" si="286">C452+E452+G452</f>
        <v>7479</v>
      </c>
      <c r="G452" s="6">
        <v>77</v>
      </c>
    </row>
    <row r="453" spans="1:11" x14ac:dyDescent="0.25">
      <c r="A453" s="80">
        <v>44677</v>
      </c>
      <c r="B453" s="6">
        <v>0</v>
      </c>
      <c r="C453" s="54">
        <f t="shared" ref="C453" si="287">C452+B453-D453</f>
        <v>0</v>
      </c>
      <c r="D453" s="6">
        <v>1</v>
      </c>
      <c r="E453" s="54">
        <v>7412</v>
      </c>
      <c r="F453" s="54">
        <f t="shared" ref="F453" si="288">C453+E453+G453</f>
        <v>7479</v>
      </c>
      <c r="G453" s="6">
        <v>67</v>
      </c>
    </row>
    <row r="454" spans="1:11" x14ac:dyDescent="0.25">
      <c r="A454" s="80">
        <v>44678</v>
      </c>
      <c r="B454" s="6">
        <v>0</v>
      </c>
      <c r="C454" s="54">
        <f t="shared" ref="C454" si="289">C453+B454-D454</f>
        <v>0</v>
      </c>
      <c r="D454" s="6">
        <v>0</v>
      </c>
      <c r="E454" s="54">
        <v>7425</v>
      </c>
      <c r="F454" s="54">
        <f t="shared" ref="F454" si="290">C454+E454+G454</f>
        <v>7499</v>
      </c>
      <c r="G454" s="6">
        <v>74</v>
      </c>
      <c r="K454" s="101"/>
    </row>
    <row r="455" spans="1:11" x14ac:dyDescent="0.25">
      <c r="A455" s="80">
        <v>44679</v>
      </c>
      <c r="B455" s="6">
        <v>4</v>
      </c>
      <c r="C455" s="54">
        <f t="shared" ref="C455" si="291">C454+B455-D455</f>
        <v>4</v>
      </c>
      <c r="D455" s="6">
        <v>0</v>
      </c>
      <c r="E455" s="54">
        <v>7434</v>
      </c>
      <c r="F455" s="54">
        <f t="shared" ref="F455" si="292">C455+E455+G455</f>
        <v>7511</v>
      </c>
      <c r="G455" s="6">
        <v>73</v>
      </c>
      <c r="K455" s="119"/>
    </row>
    <row r="456" spans="1:11" x14ac:dyDescent="0.25">
      <c r="A456" s="80">
        <v>44680</v>
      </c>
      <c r="B456" s="6">
        <v>0</v>
      </c>
      <c r="C456" s="54">
        <f t="shared" ref="C456" si="293">C455+B456-D456</f>
        <v>4</v>
      </c>
      <c r="D456" s="6">
        <v>0</v>
      </c>
      <c r="E456" s="54">
        <v>7434</v>
      </c>
      <c r="F456" s="54">
        <f t="shared" ref="F456" si="294">C456+E456+G456</f>
        <v>7511</v>
      </c>
      <c r="G456" s="6">
        <v>73</v>
      </c>
      <c r="K456" s="104"/>
    </row>
    <row r="457" spans="1:11" x14ac:dyDescent="0.25">
      <c r="A457" s="80">
        <v>44681</v>
      </c>
      <c r="B457" s="6">
        <v>0</v>
      </c>
      <c r="C457" s="54">
        <f t="shared" ref="C457" si="295">C456+B457-D457</f>
        <v>0</v>
      </c>
      <c r="D457" s="6">
        <v>4</v>
      </c>
      <c r="E457" s="54">
        <v>7440</v>
      </c>
      <c r="F457" s="54">
        <f t="shared" ref="F457" si="296">C457+E457+G457</f>
        <v>7513</v>
      </c>
      <c r="G457" s="6">
        <v>73</v>
      </c>
      <c r="K457" s="104"/>
    </row>
    <row r="458" spans="1:11" x14ac:dyDescent="0.25">
      <c r="A458" s="80">
        <v>44682</v>
      </c>
      <c r="B458" s="6">
        <v>0</v>
      </c>
      <c r="C458" s="54">
        <f t="shared" ref="C458" si="297">C457+B458-D458</f>
        <v>0</v>
      </c>
      <c r="D458" s="6">
        <v>0</v>
      </c>
      <c r="E458" s="54">
        <v>7439</v>
      </c>
      <c r="F458" s="54">
        <f t="shared" ref="F458" si="298">C458+E458+G458</f>
        <v>7512</v>
      </c>
      <c r="G458" s="6">
        <v>73</v>
      </c>
      <c r="K458" s="106"/>
    </row>
    <row r="459" spans="1:11" x14ac:dyDescent="0.25">
      <c r="A459" s="80">
        <v>44683</v>
      </c>
      <c r="B459" s="6">
        <v>0</v>
      </c>
      <c r="C459" s="54">
        <f t="shared" ref="C459" si="299">C458+B459-D459</f>
        <v>0</v>
      </c>
      <c r="D459" s="6">
        <v>0</v>
      </c>
      <c r="E459" s="54">
        <v>7448</v>
      </c>
      <c r="F459" s="54">
        <f t="shared" ref="F459" si="300">C459+E459+G459</f>
        <v>7512</v>
      </c>
      <c r="G459" s="6">
        <v>64</v>
      </c>
    </row>
    <row r="460" spans="1:11" x14ac:dyDescent="0.25">
      <c r="A460" s="80">
        <v>44684</v>
      </c>
      <c r="B460" s="6">
        <v>0</v>
      </c>
      <c r="C460" s="54">
        <f t="shared" ref="C460" si="301">C459+B460-D460</f>
        <v>0</v>
      </c>
      <c r="D460" s="6">
        <v>0</v>
      </c>
      <c r="E460" s="54">
        <v>7463</v>
      </c>
      <c r="F460" s="54">
        <f t="shared" ref="F460" si="302">C460+E460+G460</f>
        <v>7512</v>
      </c>
      <c r="G460" s="6">
        <v>49</v>
      </c>
    </row>
    <row r="461" spans="1:11" x14ac:dyDescent="0.25">
      <c r="A461" s="80">
        <v>44685</v>
      </c>
      <c r="B461" s="6">
        <v>1</v>
      </c>
      <c r="C461" s="54">
        <f t="shared" ref="C461:C463" si="303">C460+B461-D461</f>
        <v>1</v>
      </c>
      <c r="D461" s="6">
        <v>0</v>
      </c>
      <c r="E461" s="54">
        <v>7472</v>
      </c>
      <c r="F461" s="54">
        <f t="shared" ref="F461" si="304">C461+E461+G461</f>
        <v>7513</v>
      </c>
      <c r="G461" s="6">
        <v>40</v>
      </c>
    </row>
    <row r="462" spans="1:11" x14ac:dyDescent="0.25">
      <c r="A462" s="80">
        <v>44686</v>
      </c>
      <c r="B462" s="6">
        <v>0</v>
      </c>
      <c r="C462" s="54">
        <f t="shared" si="303"/>
        <v>1</v>
      </c>
      <c r="D462" s="6">
        <v>0</v>
      </c>
      <c r="E462" s="54">
        <v>7472</v>
      </c>
      <c r="F462" s="54">
        <f t="shared" ref="F462" si="305">C462+E462+G462</f>
        <v>7513</v>
      </c>
      <c r="G462" s="6">
        <v>40</v>
      </c>
    </row>
    <row r="463" spans="1:11" x14ac:dyDescent="0.25">
      <c r="A463" s="80">
        <v>44687</v>
      </c>
      <c r="B463" s="6">
        <v>0</v>
      </c>
      <c r="C463" s="54">
        <f t="shared" si="303"/>
        <v>0</v>
      </c>
      <c r="D463" s="6">
        <v>1</v>
      </c>
      <c r="E463" s="54">
        <v>7482</v>
      </c>
      <c r="F463" s="54">
        <f t="shared" ref="F463" si="306">C463+E463+G463</f>
        <v>7512</v>
      </c>
      <c r="G463" s="6">
        <v>30</v>
      </c>
    </row>
    <row r="464" spans="1:11" x14ac:dyDescent="0.25">
      <c r="A464" s="80">
        <v>44688</v>
      </c>
      <c r="B464" s="6">
        <v>2</v>
      </c>
      <c r="C464" s="54">
        <f t="shared" ref="C464" si="307">C463+B464-D464</f>
        <v>2</v>
      </c>
      <c r="D464" s="6">
        <v>0</v>
      </c>
      <c r="E464" s="54">
        <v>7481</v>
      </c>
      <c r="F464" s="54">
        <f t="shared" ref="F464" si="308">C464+E464+G464</f>
        <v>7514</v>
      </c>
      <c r="G464" s="6">
        <v>31</v>
      </c>
    </row>
    <row r="465" spans="1:7" x14ac:dyDescent="0.25">
      <c r="A465" s="80">
        <v>44689</v>
      </c>
      <c r="B465" s="6">
        <v>0</v>
      </c>
      <c r="C465" s="54">
        <f t="shared" ref="C465" si="309">C464+B465-D465</f>
        <v>1</v>
      </c>
      <c r="D465" s="6">
        <v>1</v>
      </c>
      <c r="E465" s="54">
        <v>7481</v>
      </c>
      <c r="F465" s="54">
        <f t="shared" ref="F465" si="310">C465+E465+G465</f>
        <v>7513</v>
      </c>
      <c r="G465" s="6">
        <v>31</v>
      </c>
    </row>
    <row r="466" spans="1:7" x14ac:dyDescent="0.25">
      <c r="A466" s="80">
        <v>44690</v>
      </c>
      <c r="B466" s="6">
        <v>0</v>
      </c>
      <c r="C466" s="54">
        <f t="shared" ref="C466" si="311">C465+B466-D466</f>
        <v>1</v>
      </c>
      <c r="D466" s="6">
        <v>0</v>
      </c>
      <c r="E466" s="54">
        <v>7491</v>
      </c>
      <c r="F466" s="54">
        <f t="shared" ref="F466" si="312">C466+E466+G466</f>
        <v>7512</v>
      </c>
      <c r="G466" s="6">
        <v>20</v>
      </c>
    </row>
    <row r="467" spans="1:7" x14ac:dyDescent="0.25">
      <c r="A467" s="80">
        <v>44691</v>
      </c>
      <c r="B467" s="6">
        <v>0</v>
      </c>
      <c r="C467" s="54">
        <f t="shared" ref="C467" si="313">C466+B467-D467</f>
        <v>1</v>
      </c>
      <c r="D467" s="6">
        <v>0</v>
      </c>
      <c r="E467" s="54">
        <v>7502</v>
      </c>
      <c r="F467" s="54">
        <f t="shared" ref="F467" si="314">C467+E467+G467</f>
        <v>7513</v>
      </c>
      <c r="G467" s="6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TOTAL SUSPEK</vt:lpstr>
      <vt:lpstr>perdesa</vt:lpstr>
      <vt:lpstr>per kecamatan</vt:lpstr>
      <vt:lpstr>Sheet4</vt:lpstr>
      <vt:lpstr>Sheet2</vt:lpstr>
      <vt:lpstr>TOTAL DIRAWAT</vt:lpstr>
      <vt:lpstr>SUSPEK MASUK</vt:lpstr>
      <vt:lpstr>SUSPEK KELUAR</vt:lpstr>
      <vt:lpstr>TOTAL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2021-08-12T07:46:12Z</cp:lastPrinted>
  <dcterms:created xsi:type="dcterms:W3CDTF">2020-03-25T02:32:05Z</dcterms:created>
  <dcterms:modified xsi:type="dcterms:W3CDTF">2022-05-11T01:30:40Z</dcterms:modified>
</cp:coreProperties>
</file>