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P44" i="1"/>
  <c r="Q44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3" i="1" l="1"/>
  <c r="Q8" i="1"/>
  <c r="Q27" i="1"/>
  <c r="Q65" i="1"/>
  <c r="L83" i="1"/>
  <c r="Q115" i="1"/>
  <c r="Q155" i="1"/>
  <c r="L175" i="1"/>
  <c r="L203" i="1"/>
  <c r="L217" i="1"/>
  <c r="Q237" i="1"/>
  <c r="D258" i="1"/>
  <c r="L8" i="1"/>
  <c r="P258" i="1"/>
  <c r="P134" i="1"/>
  <c r="Q134" i="1" s="1"/>
  <c r="Q258" i="1" l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<sst xmlns="http://schemas.openxmlformats.org/spreadsheetml/2006/main" count="627" uniqueCount="306">
  <si>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</si>
  <si>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</si>
  <si>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23 JULI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</si>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</sst>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3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DEMPET</v>
          </cell>
          <cell r="F2" t="str">
            <v>BALEREJO</v>
          </cell>
        </row>
        <row r="3">
          <cell r="E3" t="str">
            <v>MRANGGEN</v>
          </cell>
          <cell r="F3" t="str">
            <v>BANDUNGREJO</v>
          </cell>
        </row>
        <row r="4">
          <cell r="E4" t="str">
            <v>MRANGGEN</v>
          </cell>
          <cell r="F4" t="str">
            <v>BANDUNGREJO</v>
          </cell>
        </row>
        <row r="5">
          <cell r="E5" t="str">
            <v>MRANGGEN</v>
          </cell>
          <cell r="F5" t="str">
            <v>BATURSARI</v>
          </cell>
        </row>
        <row r="6">
          <cell r="E6" t="str">
            <v>MRANGGEN</v>
          </cell>
          <cell r="F6" t="str">
            <v>BATURSARI</v>
          </cell>
        </row>
        <row r="7">
          <cell r="E7" t="str">
            <v>MRANGGEN</v>
          </cell>
          <cell r="F7" t="str">
            <v>BATURSARI</v>
          </cell>
        </row>
        <row r="8">
          <cell r="E8" t="str">
            <v>MRANGGEN</v>
          </cell>
          <cell r="F8" t="str">
            <v>BATURSARI</v>
          </cell>
        </row>
        <row r="9">
          <cell r="E9" t="str">
            <v>MRANGGEN</v>
          </cell>
          <cell r="F9" t="str">
            <v>BATURSARI</v>
          </cell>
        </row>
        <row r="10">
          <cell r="E10" t="str">
            <v>MRANGGEN</v>
          </cell>
          <cell r="F10" t="str">
            <v>BATURSARI</v>
          </cell>
        </row>
        <row r="11">
          <cell r="E11" t="str">
            <v>MRANGGEN</v>
          </cell>
          <cell r="F11" t="str">
            <v>BATURSARI</v>
          </cell>
        </row>
        <row r="12">
          <cell r="E12" t="str">
            <v>MRANGGEN</v>
          </cell>
          <cell r="F12" t="str">
            <v>BATURSARI</v>
          </cell>
        </row>
        <row r="13">
          <cell r="E13" t="str">
            <v>MRANGGEN</v>
          </cell>
          <cell r="F13" t="str">
            <v>BATURSARI</v>
          </cell>
        </row>
        <row r="14">
          <cell r="E14" t="str">
            <v>MRANGGEN</v>
          </cell>
          <cell r="F14" t="str">
            <v>BATURSARI</v>
          </cell>
        </row>
        <row r="15">
          <cell r="E15" t="str">
            <v>GUNTUR</v>
          </cell>
          <cell r="F15" t="str">
            <v>BOGOSARI</v>
          </cell>
        </row>
        <row r="16">
          <cell r="E16" t="str">
            <v>KARANGAWEN</v>
          </cell>
          <cell r="F16" t="str">
            <v>BRAMBANG</v>
          </cell>
        </row>
        <row r="17">
          <cell r="E17" t="str">
            <v>KARANGAWEN</v>
          </cell>
          <cell r="F17" t="str">
            <v>BRAMBANG</v>
          </cell>
        </row>
        <row r="18">
          <cell r="E18" t="str">
            <v>MRANGGEN</v>
          </cell>
          <cell r="F18" t="str">
            <v>BRUMBUNG</v>
          </cell>
        </row>
        <row r="19">
          <cell r="E19" t="str">
            <v>SAYUNG</v>
          </cell>
          <cell r="F19" t="str">
            <v>BULUSARI</v>
          </cell>
        </row>
        <row r="20">
          <cell r="E20" t="str">
            <v>SAYUNG</v>
          </cell>
          <cell r="F20" t="str">
            <v>BULUSARI</v>
          </cell>
        </row>
        <row r="21">
          <cell r="E21" t="str">
            <v>DEMAK</v>
          </cell>
          <cell r="F21" t="str">
            <v>CABEAN</v>
          </cell>
        </row>
        <row r="22">
          <cell r="E22" t="str">
            <v>SAYUNG</v>
          </cell>
          <cell r="F22" t="str">
            <v>DOMBO</v>
          </cell>
        </row>
        <row r="23">
          <cell r="E23" t="str">
            <v>SAYUNG</v>
          </cell>
          <cell r="F23" t="str">
            <v>DOMBO</v>
          </cell>
        </row>
        <row r="24">
          <cell r="E24" t="str">
            <v>BONANG</v>
          </cell>
          <cell r="F24" t="str">
            <v>GEBANGARUM</v>
          </cell>
        </row>
        <row r="25">
          <cell r="E25" t="str">
            <v>MRANGGEN</v>
          </cell>
          <cell r="F25" t="str">
            <v>JAMUS</v>
          </cell>
        </row>
        <row r="26">
          <cell r="E26" t="str">
            <v>MRANGGEN</v>
          </cell>
          <cell r="F26" t="str">
            <v>JAMUS</v>
          </cell>
        </row>
        <row r="27">
          <cell r="E27" t="str">
            <v>BONANG</v>
          </cell>
          <cell r="F27" t="str">
            <v>JATIROGO</v>
          </cell>
        </row>
        <row r="28">
          <cell r="E28" t="str">
            <v>WEDUNG</v>
          </cell>
          <cell r="F28" t="str">
            <v>JETAK</v>
          </cell>
        </row>
        <row r="29">
          <cell r="E29" t="str">
            <v>SAYUNG</v>
          </cell>
          <cell r="F29" t="str">
            <v>JETAKSARI</v>
          </cell>
        </row>
        <row r="30">
          <cell r="E30" t="str">
            <v>WONOSALAM</v>
          </cell>
          <cell r="F30" t="str">
            <v>JOGOLOYO</v>
          </cell>
        </row>
        <row r="31">
          <cell r="E31" t="str">
            <v>KARANGAWEN</v>
          </cell>
          <cell r="F31" t="str">
            <v>JRAGUNG</v>
          </cell>
        </row>
        <row r="32">
          <cell r="E32" t="str">
            <v>KARANGAWEN</v>
          </cell>
          <cell r="F32" t="str">
            <v>JRAGUNG</v>
          </cell>
        </row>
        <row r="33">
          <cell r="E33" t="str">
            <v>KARANGANYAR</v>
          </cell>
          <cell r="F33" t="str">
            <v>KARANGANYAR</v>
          </cell>
        </row>
        <row r="34">
          <cell r="E34" t="str">
            <v>SAYUNG</v>
          </cell>
          <cell r="F34" t="str">
            <v>KARANGASEM</v>
          </cell>
        </row>
        <row r="35">
          <cell r="E35" t="str">
            <v>KARANGAWEN</v>
          </cell>
          <cell r="F35" t="str">
            <v>KARANGAWEN</v>
          </cell>
        </row>
        <row r="36">
          <cell r="E36" t="str">
            <v>DEMPET</v>
          </cell>
          <cell r="F36" t="str">
            <v>KARANGREJO</v>
          </cell>
        </row>
        <row r="37">
          <cell r="E37" t="str">
            <v>KARANGTENGAH</v>
          </cell>
          <cell r="F37" t="str">
            <v>KARANGSARI</v>
          </cell>
        </row>
        <row r="38">
          <cell r="E38" t="str">
            <v>DEMAK</v>
          </cell>
          <cell r="F38" t="str">
            <v>KATONSARI</v>
          </cell>
        </row>
        <row r="39">
          <cell r="E39" t="str">
            <v>MRANGGEN</v>
          </cell>
          <cell r="F39" t="str">
            <v>KEBONBATUR</v>
          </cell>
        </row>
        <row r="40">
          <cell r="E40" t="str">
            <v>MRANGGEN</v>
          </cell>
          <cell r="F40" t="str">
            <v>KEBONBATUR</v>
          </cell>
        </row>
        <row r="41">
          <cell r="E41" t="str">
            <v>MRANGGEN</v>
          </cell>
          <cell r="F41" t="str">
            <v>KEBONBATUR</v>
          </cell>
        </row>
        <row r="42">
          <cell r="E42" t="str">
            <v>MRANGGEN</v>
          </cell>
          <cell r="F42" t="str">
            <v>KEBONBATUR</v>
          </cell>
        </row>
        <row r="43">
          <cell r="E43" t="str">
            <v>MRANGGEN</v>
          </cell>
          <cell r="F43" t="str">
            <v>KEBONBATUR</v>
          </cell>
        </row>
        <row r="44">
          <cell r="E44" t="str">
            <v>MRANGGEN</v>
          </cell>
          <cell r="F44" t="str">
            <v>KEBONBATUR</v>
          </cell>
        </row>
        <row r="45">
          <cell r="E45" t="str">
            <v>MRANGGEN</v>
          </cell>
          <cell r="F45" t="str">
            <v>KEBONBATUR</v>
          </cell>
        </row>
        <row r="46">
          <cell r="E46" t="str">
            <v>MRANGGEN</v>
          </cell>
          <cell r="F46" t="str">
            <v>KEMBANGARUM</v>
          </cell>
        </row>
        <row r="47">
          <cell r="E47" t="str">
            <v>DEMPET</v>
          </cell>
          <cell r="F47" t="str">
            <v>KRAMAT</v>
          </cell>
        </row>
        <row r="48">
          <cell r="E48" t="str">
            <v>KARANGAWEN</v>
          </cell>
          <cell r="F48" t="str">
            <v>KURIPAN</v>
          </cell>
        </row>
        <row r="49">
          <cell r="E49" t="str">
            <v>KARANGAWEN</v>
          </cell>
          <cell r="F49" t="str">
            <v>KURIPAN</v>
          </cell>
        </row>
        <row r="50">
          <cell r="E50" t="str">
            <v>KEBONAGUNG</v>
          </cell>
          <cell r="F50" t="str">
            <v>MANGUNAN LOR</v>
          </cell>
        </row>
        <row r="51">
          <cell r="E51" t="str">
            <v>KEBONAGUNG</v>
          </cell>
          <cell r="F51" t="str">
            <v>MANGUNAN LOR</v>
          </cell>
        </row>
        <row r="52">
          <cell r="E52" t="str">
            <v>KEBONAGUNG</v>
          </cell>
          <cell r="F52" t="str">
            <v>MANGUNAN LOR</v>
          </cell>
        </row>
        <row r="53">
          <cell r="E53" t="str">
            <v>DEMAK</v>
          </cell>
          <cell r="F53" t="str">
            <v>MANGUNJIWAN</v>
          </cell>
        </row>
        <row r="54">
          <cell r="E54" t="str">
            <v>DEMAK</v>
          </cell>
          <cell r="F54" t="str">
            <v>MANGUNJIWAN</v>
          </cell>
        </row>
        <row r="55">
          <cell r="E55" t="str">
            <v>KARANGAWEN</v>
          </cell>
          <cell r="F55" t="str">
            <v>MARGOHAYU</v>
          </cell>
        </row>
        <row r="56">
          <cell r="E56" t="str">
            <v>KEBONAGUNG</v>
          </cell>
          <cell r="F56" t="str">
            <v>MEGONTEN</v>
          </cell>
        </row>
        <row r="57">
          <cell r="E57" t="str">
            <v>MIJEN</v>
          </cell>
          <cell r="F57" t="str">
            <v>MIJEN</v>
          </cell>
        </row>
        <row r="58">
          <cell r="E58" t="str">
            <v>KEBONAGUNG</v>
          </cell>
          <cell r="F58" t="str">
            <v>MIJEN</v>
          </cell>
        </row>
        <row r="59">
          <cell r="E59" t="str">
            <v>KEBONAGUNG</v>
          </cell>
          <cell r="F59" t="str">
            <v>MIJEN</v>
          </cell>
        </row>
        <row r="60">
          <cell r="E60" t="str">
            <v>KEBONAGUNG</v>
          </cell>
          <cell r="F60" t="str">
            <v>MIJEN</v>
          </cell>
        </row>
        <row r="61">
          <cell r="E61" t="str">
            <v>MRANGGEN</v>
          </cell>
          <cell r="F61" t="str">
            <v>MRANGGEN</v>
          </cell>
        </row>
        <row r="62">
          <cell r="E62" t="str">
            <v>MRANGGEN</v>
          </cell>
          <cell r="F62" t="str">
            <v>MRANGGEN</v>
          </cell>
        </row>
        <row r="63">
          <cell r="E63" t="str">
            <v>WEDUNG</v>
          </cell>
          <cell r="F63" t="str">
            <v>MUTIH KULON</v>
          </cell>
        </row>
        <row r="64">
          <cell r="E64" t="str">
            <v>GUNTUR</v>
          </cell>
          <cell r="F64" t="str">
            <v>PAMONGAN</v>
          </cell>
        </row>
        <row r="65">
          <cell r="E65" t="str">
            <v>SAYUNG</v>
          </cell>
          <cell r="F65" t="str">
            <v>PILANGSARI</v>
          </cell>
        </row>
        <row r="66">
          <cell r="E66" t="str">
            <v>KEBONAGUNG</v>
          </cell>
          <cell r="F66" t="str">
            <v>PILANG WETAN</v>
          </cell>
        </row>
        <row r="67">
          <cell r="E67" t="str">
            <v>KARANGAWEN</v>
          </cell>
          <cell r="F67" t="str">
            <v>PUNDENARUM</v>
          </cell>
        </row>
        <row r="68">
          <cell r="E68" t="str">
            <v>KARANGAWEN</v>
          </cell>
          <cell r="F68" t="str">
            <v>REJOSARI</v>
          </cell>
        </row>
        <row r="69">
          <cell r="E69" t="str">
            <v>KARANGAWEN</v>
          </cell>
          <cell r="F69" t="str">
            <v>REJOSARI</v>
          </cell>
        </row>
        <row r="70">
          <cell r="E70" t="str">
            <v>KARANGAWEN</v>
          </cell>
          <cell r="F70" t="str">
            <v>REJOSARI</v>
          </cell>
        </row>
        <row r="71">
          <cell r="E71" t="str">
            <v>KARANGAWEN</v>
          </cell>
          <cell r="F71" t="str">
            <v>REJOSARI</v>
          </cell>
        </row>
        <row r="72">
          <cell r="E72" t="str">
            <v>KARANGAWEN</v>
          </cell>
          <cell r="F72" t="str">
            <v>REJOSARI</v>
          </cell>
        </row>
        <row r="73">
          <cell r="E73" t="str">
            <v>SAYUNG</v>
          </cell>
          <cell r="F73" t="str">
            <v>SAYUNG</v>
          </cell>
        </row>
        <row r="74">
          <cell r="E74" t="str">
            <v>SAYUNG</v>
          </cell>
          <cell r="F74" t="str">
            <v>SAYUNG</v>
          </cell>
        </row>
        <row r="75">
          <cell r="E75" t="str">
            <v>SAYUNG</v>
          </cell>
          <cell r="F75" t="str">
            <v>SAYUNG</v>
          </cell>
        </row>
        <row r="76">
          <cell r="E76" t="str">
            <v>SAYUNG</v>
          </cell>
          <cell r="F76" t="str">
            <v>SIDOGEMAH</v>
          </cell>
        </row>
        <row r="77">
          <cell r="E77" t="str">
            <v>DEMPET</v>
          </cell>
          <cell r="F77" t="str">
            <v>SIDOMULYO</v>
          </cell>
        </row>
        <row r="78">
          <cell r="E78" t="str">
            <v>DEMPET</v>
          </cell>
          <cell r="F78" t="str">
            <v>SIDOMULYO</v>
          </cell>
        </row>
        <row r="79">
          <cell r="E79" t="str">
            <v>KEBONAGUNG</v>
          </cell>
          <cell r="F79" t="str">
            <v>SOKO KIDUL</v>
          </cell>
        </row>
        <row r="80">
          <cell r="E80" t="str">
            <v>SAYUNG</v>
          </cell>
          <cell r="F80" t="str">
            <v>SRIWULAN</v>
          </cell>
        </row>
        <row r="81">
          <cell r="E81" t="str">
            <v>GUNTUR</v>
          </cell>
          <cell r="F81" t="str">
            <v>SUKOREJO</v>
          </cell>
        </row>
        <row r="82">
          <cell r="E82" t="str">
            <v>GAJAH</v>
          </cell>
          <cell r="F82" t="str">
            <v>TAMBIREJO</v>
          </cell>
        </row>
        <row r="83">
          <cell r="E83" t="str">
            <v>GAJAH</v>
          </cell>
          <cell r="F83" t="str">
            <v>TAMBIREJO</v>
          </cell>
        </row>
        <row r="84">
          <cell r="E84" t="str">
            <v>GUNTUR</v>
          </cell>
          <cell r="F84" t="str">
            <v>TEMUROSO</v>
          </cell>
        </row>
        <row r="85">
          <cell r="E85" t="str">
            <v>KARANGAWEN</v>
          </cell>
          <cell r="F85" t="str">
            <v>TLOGOREJO</v>
          </cell>
        </row>
        <row r="86">
          <cell r="E86" t="str">
            <v>KEBONAGUNG</v>
          </cell>
          <cell r="F86" t="str">
            <v>TLOGOSIH</v>
          </cell>
        </row>
        <row r="87">
          <cell r="E87" t="str">
            <v>KARANGANYAR</v>
          </cell>
          <cell r="F87" t="str">
            <v>TUGU LOR</v>
          </cell>
        </row>
        <row r="88">
          <cell r="E88" t="str">
            <v>KARANGANYAR</v>
          </cell>
          <cell r="F88" t="str">
            <v>TUGU LOR</v>
          </cell>
        </row>
        <row r="89">
          <cell r="E89" t="str">
            <v>WEDUNG</v>
          </cell>
          <cell r="F89" t="str">
            <v>WEDUNG</v>
          </cell>
        </row>
        <row r="90">
          <cell r="E90" t="str">
            <v>KARANGANYAR</v>
          </cell>
          <cell r="F90" t="str">
            <v>WONOREJO</v>
          </cell>
        </row>
        <row r="91">
          <cell r="E91" t="str">
            <v>KARANGAWEN</v>
          </cell>
          <cell r="F91" t="str">
            <v>WONOSEKAR</v>
          </cell>
        </row>
        <row r="92">
          <cell r="E92" t="str">
            <v>KARANGTENGAH</v>
          </cell>
          <cell r="F92" t="str">
            <v>WONOWOSO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1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25</v>
      </c>
      <c r="M8" s="27" t="e">
        <f>SUM(#REF!)</f>
        <v>#REF!</v>
      </c>
      <c r="P8" s="28">
        <f t="shared" ref="P8:P71" si="0">SUM(D8:D8)</f>
        <v>1</v>
      </c>
      <c r="Q8" s="29">
        <f>SUM(P8:P26)</f>
        <v>25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2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2</v>
      </c>
      <c r="Q9" s="33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0</v>
      </c>
      <c r="Q10" s="33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1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1</v>
      </c>
      <c r="Q12" s="33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0</v>
      </c>
      <c r="Q13" s="33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2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2</v>
      </c>
      <c r="Q14" s="33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0</v>
      </c>
      <c r="Q16" s="33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0</v>
      </c>
      <c r="Q17" s="33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0</v>
      </c>
      <c r="Q18" s="33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0</v>
      </c>
      <c r="Q19" s="33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2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2</v>
      </c>
      <c r="Q20" s="33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0</v>
      </c>
      <c r="Q22" s="33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0</v>
      </c>
      <c r="Q23" s="33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0</v>
      </c>
      <c r="Q24" s="33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7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7</v>
      </c>
      <c r="Q25" s="33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10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10</v>
      </c>
      <c r="Q26" s="33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1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2</v>
      </c>
      <c r="M27" s="30" t="e">
        <f>SUM(#REF!)</f>
        <v>#REF!</v>
      </c>
      <c r="P27" s="28">
        <f t="shared" si="0"/>
        <v>1</v>
      </c>
      <c r="Q27" s="29">
        <f>SUM(P27:P43)</f>
        <v>2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0</v>
      </c>
      <c r="Q29" s="33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0</v>
      </c>
      <c r="Q30" s="33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0</v>
      </c>
      <c r="Q33" s="33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1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1</v>
      </c>
      <c r="Q34" s="33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0</v>
      </c>
      <c r="Q35" s="33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0</v>
      </c>
      <c r="Q36" s="33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0</v>
      </c>
      <c r="Q37" s="33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0</v>
      </c>
      <c r="Q38" s="33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0</v>
      </c>
      <c r="Q40" s="33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0</v>
      </c>
      <c r="Q42" s="33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54</v>
      </c>
      <c r="C44" s="25" t="s">
        <v>55</v>
      </c>
      <c r="D44" s="26">
        <f>COUNTIFS('[1]TOTAL SUSPEK'!$F:$F,"Botorejo")</f>
        <v>0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1</v>
      </c>
      <c r="M44" s="30" t="e">
        <f>SUM(#REF!)</f>
        <v>#REF!</v>
      </c>
      <c r="P44" s="28">
        <f t="shared" si="0"/>
        <v>0</v>
      </c>
      <c r="Q44" s="29">
        <f>SUM(P44:P64)</f>
        <v>1</v>
      </c>
    </row>
    <row r="45" spans="1:17" x14ac:dyDescent="0.25">
      <c r="A45" s="34"/>
      <c r="B45" s="35" t="s">
        <v>54</v>
      </c>
      <c r="C45" s="25" t="s">
        <v>56</v>
      </c>
      <c r="D45" s="26">
        <f>COUNTIFS('[1]TOTAL SUSPEK'!$F:$F,"Getas")</f>
        <v>0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0</v>
      </c>
      <c r="Q45" s="33"/>
    </row>
    <row r="46" spans="1:17" x14ac:dyDescent="0.25">
      <c r="A46" s="34"/>
      <c r="B46" s="35" t="s">
        <v>54</v>
      </c>
      <c r="C46" s="25" t="s">
        <v>57</v>
      </c>
      <c r="D46" s="26">
        <f>COUNTIFS('[1]TOTAL SUSPEK'!$F:$F,"Kuncir")</f>
        <v>0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0</v>
      </c>
      <c r="Q46" s="33"/>
    </row>
    <row r="47" spans="1:17" x14ac:dyDescent="0.25">
      <c r="A47" s="34"/>
      <c r="B47" s="35" t="s">
        <v>54</v>
      </c>
      <c r="C47" s="25" t="s">
        <v>58</v>
      </c>
      <c r="D47" s="26">
        <f>COUNTIFS('[1]TOTAL SUSPEK'!$F:$F,"trengguli")</f>
        <v>0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0</v>
      </c>
      <c r="Q47" s="33"/>
    </row>
    <row r="48" spans="1:17" x14ac:dyDescent="0.25">
      <c r="A48" s="34"/>
      <c r="B48" s="35" t="s">
        <v>54</v>
      </c>
      <c r="C48" s="25" t="s">
        <v>59</v>
      </c>
      <c r="D48" s="26">
        <f>COUNTIFS('[1]TOTAL SUSPEK'!$F:$F,"Mranak")</f>
        <v>0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0</v>
      </c>
      <c r="Q48" s="33"/>
    </row>
    <row r="49" spans="1:17" x14ac:dyDescent="0.25">
      <c r="A49" s="34"/>
      <c r="B49" s="35" t="s">
        <v>54</v>
      </c>
      <c r="C49" s="25" t="s">
        <v>60</v>
      </c>
      <c r="D49" s="26">
        <f>COUNTIFS('[1]TOTAL SUSPEK'!$F:$F,"Pilangrejo")</f>
        <v>0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0</v>
      </c>
      <c r="Q49" s="33"/>
    </row>
    <row r="50" spans="1:17" x14ac:dyDescent="0.25">
      <c r="A50" s="34"/>
      <c r="B50" s="35" t="s">
        <v>54</v>
      </c>
      <c r="C50" s="25" t="s">
        <v>61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54</v>
      </c>
      <c r="C51" s="25" t="s">
        <v>62</v>
      </c>
      <c r="D51" s="26">
        <f>COUNTIFS('[1]TOTAL SUSPEK'!$F:$F,"Sidomulyo",'[1]TOTAL SUSPEK'!$E:$E,"wonosalam")</f>
        <v>0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0</v>
      </c>
      <c r="Q51" s="33"/>
    </row>
    <row r="52" spans="1:17" x14ac:dyDescent="0.25">
      <c r="A52" s="34"/>
      <c r="B52" s="35" t="s">
        <v>54</v>
      </c>
      <c r="C52" s="25" t="s">
        <v>63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54</v>
      </c>
      <c r="C53" s="25" t="s">
        <v>64</v>
      </c>
      <c r="D53" s="26">
        <f>COUNTIFS('[1]TOTAL SUSPEK'!$F:$F,"Mojodemak")</f>
        <v>0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0</v>
      </c>
      <c r="Q53" s="33"/>
    </row>
    <row r="54" spans="1:17" x14ac:dyDescent="0.25">
      <c r="A54" s="34"/>
      <c r="B54" s="35" t="s">
        <v>54</v>
      </c>
      <c r="C54" s="25" t="s">
        <v>65</v>
      </c>
      <c r="D54" s="26">
        <f>COUNTIFS('[1]TOTAL SUSPEK'!$F:$F,"Mrisen")</f>
        <v>0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0</v>
      </c>
      <c r="Q54" s="33"/>
    </row>
    <row r="55" spans="1:17" x14ac:dyDescent="0.25">
      <c r="A55" s="34"/>
      <c r="B55" s="35" t="s">
        <v>54</v>
      </c>
      <c r="C55" s="25" t="s">
        <v>66</v>
      </c>
      <c r="D55" s="26">
        <f>COUNTIFS('[1]TOTAL SUSPEK'!$F:$F,"Doreng")</f>
        <v>0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0</v>
      </c>
      <c r="Q55" s="33"/>
    </row>
    <row r="56" spans="1:17" x14ac:dyDescent="0.25">
      <c r="A56" s="34"/>
      <c r="B56" s="35" t="s">
        <v>54</v>
      </c>
      <c r="C56" s="25" t="s">
        <v>67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54</v>
      </c>
      <c r="C57" s="25" t="s">
        <v>68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54</v>
      </c>
      <c r="C58" s="25" t="s">
        <v>54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54</v>
      </c>
      <c r="C59" s="25" t="s">
        <v>69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54</v>
      </c>
      <c r="C60" s="25" t="s">
        <v>70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54</v>
      </c>
      <c r="C61" s="25" t="s">
        <v>71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54</v>
      </c>
      <c r="C62" s="25" t="s">
        <v>72</v>
      </c>
      <c r="D62" s="26">
        <f>COUNTIFS('[1]TOTAL SUSPEK'!$F:$F,"Karangrejo",'[1]TOTAL SUSPEK'!$E:$E,"Wonosalam")</f>
        <v>0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0</v>
      </c>
      <c r="Q62" s="33"/>
    </row>
    <row r="63" spans="1:17" x14ac:dyDescent="0.25">
      <c r="A63" s="34"/>
      <c r="B63" s="35" t="s">
        <v>54</v>
      </c>
      <c r="C63" s="25" t="s">
        <v>73</v>
      </c>
      <c r="D63" s="26">
        <f>COUNTIFS('[1]TOTAL SUSPEK'!$F:$F,"Kendaldoyong")</f>
        <v>0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0</v>
      </c>
      <c r="Q63" s="33"/>
    </row>
    <row r="64" spans="1:17" x14ac:dyDescent="0.25">
      <c r="A64" s="34"/>
      <c r="B64" s="35" t="s">
        <v>54</v>
      </c>
      <c r="C64" s="25" t="s">
        <v>74</v>
      </c>
      <c r="D64" s="26">
        <f>COUNTIFS('[1]TOTAL SUSPEK'!$F:$F,"Jogoloyo")</f>
        <v>1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1</v>
      </c>
      <c r="Q64" s="33"/>
    </row>
    <row r="65" spans="1:17" x14ac:dyDescent="0.25">
      <c r="A65" s="23">
        <v>4</v>
      </c>
      <c r="B65" s="24" t="s">
        <v>75</v>
      </c>
      <c r="C65" s="36" t="s">
        <v>76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2</v>
      </c>
      <c r="M65" s="30" t="e">
        <f>SUM(#REF!)</f>
        <v>#REF!</v>
      </c>
      <c r="P65" s="28">
        <f t="shared" si="0"/>
        <v>0</v>
      </c>
      <c r="Q65" s="29">
        <f>SUM(P65:P82)</f>
        <v>2</v>
      </c>
    </row>
    <row r="66" spans="1:17" x14ac:dyDescent="0.25">
      <c r="A66" s="23"/>
      <c r="B66" s="24" t="s">
        <v>75</v>
      </c>
      <c r="C66" s="37" t="s">
        <v>77</v>
      </c>
      <c r="D66" s="26">
        <f>COUNTIFS('[1]TOTAL SUSPEK'!$F:$F,"Banjarsari",'[1]TOTAL SUSPEK'!$E:$E,"gajah")</f>
        <v>0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0</v>
      </c>
      <c r="Q66" s="33"/>
    </row>
    <row r="67" spans="1:17" x14ac:dyDescent="0.25">
      <c r="A67" s="23"/>
      <c r="B67" s="24" t="s">
        <v>75</v>
      </c>
      <c r="C67" s="36" t="s">
        <v>75</v>
      </c>
      <c r="D67" s="26">
        <f>COUNTIFS('[1]TOTAL SUSPEK'!$F:$F,"Gajah")</f>
        <v>0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0</v>
      </c>
      <c r="Q67" s="33"/>
    </row>
    <row r="68" spans="1:17" x14ac:dyDescent="0.25">
      <c r="A68" s="23"/>
      <c r="B68" s="24" t="s">
        <v>75</v>
      </c>
      <c r="C68" s="36" t="s">
        <v>78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75</v>
      </c>
      <c r="C69" s="36" t="s">
        <v>79</v>
      </c>
      <c r="D69" s="26">
        <f>COUNTIFS('[1]TOTAL SUSPEK'!$F:$F,"Boyolali")</f>
        <v>0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0</v>
      </c>
      <c r="Q69" s="33"/>
    </row>
    <row r="70" spans="1:17" x14ac:dyDescent="0.25">
      <c r="A70" s="23"/>
      <c r="B70" s="24" t="s">
        <v>75</v>
      </c>
      <c r="C70" s="36" t="s">
        <v>80</v>
      </c>
      <c r="D70" s="26">
        <f>COUNTIFS('[1]TOTAL SUSPEK'!$F:$F,"Jatisono")</f>
        <v>0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0</v>
      </c>
      <c r="Q70" s="33"/>
    </row>
    <row r="71" spans="1:17" x14ac:dyDescent="0.25">
      <c r="A71" s="23"/>
      <c r="B71" s="24" t="s">
        <v>75</v>
      </c>
      <c r="C71" s="36" t="s">
        <v>81</v>
      </c>
      <c r="D71" s="26">
        <f>COUNTIFS('[1]TOTAL SUSPEK'!$F:$F,"Sambiroto")</f>
        <v>0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0</v>
      </c>
      <c r="Q71" s="33"/>
    </row>
    <row r="72" spans="1:17" x14ac:dyDescent="0.25">
      <c r="A72" s="23"/>
      <c r="B72" s="24" t="s">
        <v>75</v>
      </c>
      <c r="C72" s="36" t="s">
        <v>82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75</v>
      </c>
      <c r="C73" s="36" t="s">
        <v>83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75</v>
      </c>
      <c r="C74" s="36" t="s">
        <v>84</v>
      </c>
      <c r="D74" s="26">
        <f>COUNTIFS('[1]TOTAL SUSPEK'!$F:$F,"Gedangalas")</f>
        <v>0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0</v>
      </c>
      <c r="Q74" s="33"/>
    </row>
    <row r="75" spans="1:17" x14ac:dyDescent="0.25">
      <c r="A75" s="23"/>
      <c r="B75" s="24" t="s">
        <v>75</v>
      </c>
      <c r="C75" s="36" t="s">
        <v>85</v>
      </c>
      <c r="D75" s="26">
        <f>COUNTIFS('[1]TOTAL SUSPEK'!$F:$F,"Sambung")</f>
        <v>0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0</v>
      </c>
      <c r="Q75" s="33"/>
    </row>
    <row r="76" spans="1:17" x14ac:dyDescent="0.25">
      <c r="A76" s="23"/>
      <c r="B76" s="24" t="s">
        <v>75</v>
      </c>
      <c r="C76" s="36" t="s">
        <v>86</v>
      </c>
      <c r="D76" s="26">
        <f>COUNTIFS('[1]TOTAL SUSPEK'!$F:$F,"Tambirejo")</f>
        <v>2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2</v>
      </c>
      <c r="Q76" s="33"/>
    </row>
    <row r="77" spans="1:17" x14ac:dyDescent="0.25">
      <c r="A77" s="23"/>
      <c r="B77" s="24" t="s">
        <v>75</v>
      </c>
      <c r="C77" s="36" t="s">
        <v>87</v>
      </c>
      <c r="D77" s="26">
        <f>COUNTIFS('[1]TOTAL SUSPEK'!$F:$F,"Mlatiharjo")</f>
        <v>0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0</v>
      </c>
      <c r="Q77" s="33"/>
    </row>
    <row r="78" spans="1:17" x14ac:dyDescent="0.25">
      <c r="A78" s="23"/>
      <c r="B78" s="24" t="s">
        <v>75</v>
      </c>
      <c r="C78" s="36" t="s">
        <v>88</v>
      </c>
      <c r="D78" s="26">
        <f>COUNTIFS('[1]TOTAL SUSPEK'!$F:$F,"Mojosimo")</f>
        <v>0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0</v>
      </c>
      <c r="Q78" s="33"/>
    </row>
    <row r="79" spans="1:17" x14ac:dyDescent="0.25">
      <c r="A79" s="23"/>
      <c r="B79" s="24" t="s">
        <v>75</v>
      </c>
      <c r="C79" s="36" t="s">
        <v>89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75</v>
      </c>
      <c r="C80" s="36" t="s">
        <v>90</v>
      </c>
      <c r="D80" s="26">
        <f>COUNTIFS('[1]TOTAL SUSPEK'!$F:$F,"Wilalung")</f>
        <v>0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0</v>
      </c>
      <c r="Q80" s="33"/>
    </row>
    <row r="81" spans="1:17" x14ac:dyDescent="0.25">
      <c r="A81" s="23"/>
      <c r="B81" s="24" t="s">
        <v>75</v>
      </c>
      <c r="C81" s="36" t="s">
        <v>91</v>
      </c>
      <c r="D81" s="26">
        <f>COUNTIFS('[1]TOTAL SUSPEK'!$F:$F,"Tanjunganyar")</f>
        <v>0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0</v>
      </c>
      <c r="Q81" s="33"/>
    </row>
    <row r="82" spans="1:17" x14ac:dyDescent="0.25">
      <c r="A82" s="23"/>
      <c r="B82" s="24" t="s">
        <v>75</v>
      </c>
      <c r="C82" s="36" t="s">
        <v>92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93</v>
      </c>
      <c r="C83" s="25" t="s">
        <v>94</v>
      </c>
      <c r="D83" s="26">
        <f>COUNTIFS('[1]TOTAL SUSPEK'!$F:$F,"Cangkring B")</f>
        <v>0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4</v>
      </c>
      <c r="M83" s="30" t="e">
        <f>SUM(#REF!)</f>
        <v>#REF!</v>
      </c>
      <c r="P83" s="28">
        <f t="shared" si="1"/>
        <v>0</v>
      </c>
      <c r="Q83" s="29">
        <f>SUM(P83:P99)</f>
        <v>4</v>
      </c>
    </row>
    <row r="84" spans="1:17" ht="15" customHeight="1" x14ac:dyDescent="0.25">
      <c r="A84" s="23"/>
      <c r="B84" s="38" t="s">
        <v>93</v>
      </c>
      <c r="C84" s="25" t="s">
        <v>95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93</v>
      </c>
      <c r="C85" s="25" t="s">
        <v>96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93</v>
      </c>
      <c r="C86" s="25" t="s">
        <v>97</v>
      </c>
      <c r="D86" s="26">
        <f>COUNTIFS('[1]TOTAL SUSPEK'!$F:$F,"Ketanjung")</f>
        <v>0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0</v>
      </c>
      <c r="Q86" s="33"/>
    </row>
    <row r="87" spans="1:17" ht="15" customHeight="1" x14ac:dyDescent="0.25">
      <c r="A87" s="23"/>
      <c r="B87" s="38" t="s">
        <v>93</v>
      </c>
      <c r="C87" s="25" t="s">
        <v>98</v>
      </c>
      <c r="D87" s="26">
        <f>COUNTIFS('[1]TOTAL SUSPEK'!$F:$F,"Cangkring Rembang")</f>
        <v>0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0</v>
      </c>
      <c r="Q87" s="33"/>
    </row>
    <row r="88" spans="1:17" ht="15" customHeight="1" x14ac:dyDescent="0.25">
      <c r="A88" s="23"/>
      <c r="B88" s="38" t="s">
        <v>93</v>
      </c>
      <c r="C88" s="25" t="s">
        <v>99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93</v>
      </c>
      <c r="C89" s="25" t="s">
        <v>100</v>
      </c>
      <c r="D89" s="26">
        <f>COUNTIFS('[1]TOTAL SUSPEK'!$F:$F,"Wonorejo",'[1]TOTAL SUSPEK'!$E:$E,"karanganyar")</f>
        <v>1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1</v>
      </c>
      <c r="Q89" s="33"/>
    </row>
    <row r="90" spans="1:17" ht="15" customHeight="1" x14ac:dyDescent="0.25">
      <c r="A90" s="23"/>
      <c r="B90" s="38" t="s">
        <v>93</v>
      </c>
      <c r="C90" s="25" t="s">
        <v>101</v>
      </c>
      <c r="D90" s="26">
        <f>COUNTIFS('[1]TOTAL SUSPEK'!$F:$F,"Ngemplik Wetan")</f>
        <v>0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0</v>
      </c>
      <c r="Q90" s="33"/>
    </row>
    <row r="91" spans="1:17" ht="15" customHeight="1" x14ac:dyDescent="0.25">
      <c r="A91" s="23"/>
      <c r="B91" s="38" t="s">
        <v>93</v>
      </c>
      <c r="C91" s="25" t="s">
        <v>93</v>
      </c>
      <c r="D91" s="26">
        <f>COUNTIFS('[1]TOTAL SUSPEK'!$F:$F,"Karanganyar")</f>
        <v>1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1</v>
      </c>
      <c r="Q91" s="33"/>
    </row>
    <row r="92" spans="1:17" ht="15" customHeight="1" x14ac:dyDescent="0.25">
      <c r="A92" s="23"/>
      <c r="B92" s="38" t="s">
        <v>93</v>
      </c>
      <c r="C92" s="25" t="s">
        <v>102</v>
      </c>
      <c r="D92" s="26">
        <f>COUNTIFS('[1]TOTAL SUSPEK'!$F:$F,"Ngaluran")</f>
        <v>0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0</v>
      </c>
      <c r="Q92" s="33"/>
    </row>
    <row r="93" spans="1:17" ht="15" customHeight="1" x14ac:dyDescent="0.25">
      <c r="A93" s="23"/>
      <c r="B93" s="38" t="s">
        <v>93</v>
      </c>
      <c r="C93" s="25" t="s">
        <v>103</v>
      </c>
      <c r="D93" s="26">
        <f>COUNTIFS('[1]TOTAL SUSPEK'!$F:$F,"Kedungwaru Kidul")</f>
        <v>0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0</v>
      </c>
      <c r="Q93" s="33"/>
    </row>
    <row r="94" spans="1:17" ht="15" customHeight="1" x14ac:dyDescent="0.25">
      <c r="A94" s="23"/>
      <c r="B94" s="38" t="s">
        <v>93</v>
      </c>
      <c r="C94" s="25" t="s">
        <v>104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93</v>
      </c>
      <c r="C95" s="25" t="s">
        <v>105</v>
      </c>
      <c r="D95" s="26">
        <f>COUNTIFS('[1]TOTAL SUSPEK'!$F:$F,"Tugu Lor")</f>
        <v>2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2</v>
      </c>
      <c r="Q95" s="33"/>
    </row>
    <row r="96" spans="1:17" ht="15" customHeight="1" x14ac:dyDescent="0.25">
      <c r="A96" s="23"/>
      <c r="B96" s="38" t="s">
        <v>93</v>
      </c>
      <c r="C96" s="25" t="s">
        <v>106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93</v>
      </c>
      <c r="C97" s="25" t="s">
        <v>107</v>
      </c>
      <c r="D97" s="26">
        <f>COUNTIFS('[1]TOTAL SUSPEK'!$F:$F,"Wonoketingal")</f>
        <v>0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0</v>
      </c>
      <c r="Q97" s="33"/>
    </row>
    <row r="98" spans="1:17" ht="15" customHeight="1" x14ac:dyDescent="0.25">
      <c r="A98" s="23"/>
      <c r="B98" s="38" t="s">
        <v>93</v>
      </c>
      <c r="C98" s="25" t="s">
        <v>108</v>
      </c>
      <c r="D98" s="26">
        <f>COUNTIFS('[1]TOTAL SUSPEK'!$F:$F,"Jatirejo")</f>
        <v>0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0</v>
      </c>
      <c r="Q98" s="33"/>
    </row>
    <row r="99" spans="1:17" ht="15" customHeight="1" x14ac:dyDescent="0.25">
      <c r="A99" s="23"/>
      <c r="B99" s="38" t="s">
        <v>93</v>
      </c>
      <c r="C99" s="25" t="s">
        <v>23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109</v>
      </c>
      <c r="C100" s="25" t="s">
        <v>110</v>
      </c>
      <c r="D100" s="26">
        <f>COUNTIFS('[1]TOTAL SUSPEK'!$F:$F,"Mijen",'[1]TOTAL SUSPEK'!$E:$E,"mijen")</f>
        <v>1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1</v>
      </c>
      <c r="M100" s="30" t="e">
        <f>SUM(#REF!)</f>
        <v>#REF!</v>
      </c>
      <c r="P100" s="28">
        <f t="shared" si="1"/>
        <v>1</v>
      </c>
      <c r="Q100" s="29">
        <f>SUM(P100:P114)</f>
        <v>1</v>
      </c>
    </row>
    <row r="101" spans="1:17" ht="15" customHeight="1" x14ac:dyDescent="0.25">
      <c r="A101" s="23"/>
      <c r="B101" s="38" t="s">
        <v>109</v>
      </c>
      <c r="C101" s="25" t="s">
        <v>111</v>
      </c>
      <c r="D101" s="26">
        <f>COUNTIFS('[1]TOTAL SUSPEK'!$F:$F,"Geneng")</f>
        <v>0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0</v>
      </c>
      <c r="Q101" s="33"/>
    </row>
    <row r="102" spans="1:17" ht="15" customHeight="1" x14ac:dyDescent="0.25">
      <c r="A102" s="23"/>
      <c r="B102" s="38" t="s">
        <v>109</v>
      </c>
      <c r="C102" s="25" t="s">
        <v>112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109</v>
      </c>
      <c r="C103" s="25" t="s">
        <v>113</v>
      </c>
      <c r="D103" s="26">
        <f>COUNTIFS('[1]TOTAL SUSPEK'!$F:$F,"Bantengmati")</f>
        <v>0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0</v>
      </c>
      <c r="Q103" s="33"/>
    </row>
    <row r="104" spans="1:17" ht="15" customHeight="1" x14ac:dyDescent="0.25">
      <c r="A104" s="23"/>
      <c r="B104" s="38" t="s">
        <v>109</v>
      </c>
      <c r="C104" s="25" t="s">
        <v>114</v>
      </c>
      <c r="D104" s="26">
        <f>COUNTIFS('[1]TOTAL SUSPEK'!$F:$F,"Mlaten")</f>
        <v>0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0</v>
      </c>
      <c r="Q104" s="33"/>
    </row>
    <row r="105" spans="1:17" ht="15" customHeight="1" x14ac:dyDescent="0.25">
      <c r="A105" s="23"/>
      <c r="B105" s="38" t="s">
        <v>109</v>
      </c>
      <c r="C105" s="25" t="s">
        <v>115</v>
      </c>
      <c r="D105" s="26">
        <f>COUNTIFS('[1]TOTAL SUSPEK'!$F:$F,"Bermi")</f>
        <v>0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0</v>
      </c>
      <c r="Q105" s="33"/>
    </row>
    <row r="106" spans="1:17" ht="15" customHeight="1" x14ac:dyDescent="0.25">
      <c r="A106" s="23"/>
      <c r="B106" s="38" t="s">
        <v>109</v>
      </c>
      <c r="C106" s="25" t="s">
        <v>116</v>
      </c>
      <c r="D106" s="26">
        <f>COUNTIFS('[1]TOTAL SUSPEK'!$F:$F,"Gempolsongo")</f>
        <v>0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0</v>
      </c>
      <c r="Q106" s="33"/>
    </row>
    <row r="107" spans="1:17" ht="15" customHeight="1" x14ac:dyDescent="0.25">
      <c r="A107" s="23"/>
      <c r="B107" s="38" t="s">
        <v>109</v>
      </c>
      <c r="C107" s="25" t="s">
        <v>117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109</v>
      </c>
      <c r="C108" s="25" t="s">
        <v>118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109</v>
      </c>
      <c r="C109" s="25" t="s">
        <v>119</v>
      </c>
      <c r="D109" s="26">
        <f>COUNTIFS('[1]TOTAL SUSPEK'!$F:$F,"Pasir")</f>
        <v>0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0</v>
      </c>
      <c r="Q109" s="33"/>
    </row>
    <row r="110" spans="1:17" ht="15" customHeight="1" x14ac:dyDescent="0.25">
      <c r="A110" s="23"/>
      <c r="B110" s="38" t="s">
        <v>109</v>
      </c>
      <c r="C110" s="25" t="s">
        <v>120</v>
      </c>
      <c r="D110" s="26">
        <f>COUNTIFS('[1]TOTAL SUSPEK'!$F:$F,"Jleper")</f>
        <v>0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0</v>
      </c>
      <c r="Q110" s="33"/>
    </row>
    <row r="111" spans="1:17" ht="15" customHeight="1" x14ac:dyDescent="0.25">
      <c r="A111" s="23"/>
      <c r="B111" s="38" t="s">
        <v>109</v>
      </c>
      <c r="C111" s="25" t="s">
        <v>41</v>
      </c>
      <c r="D111" s="26">
        <f>COUNTIFS('[1]TOTAL SUSPEK'!$F:$F,"Rejosari",'[1]TOTAL SUSPEK'!$E:$E,"mijen")</f>
        <v>0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0</v>
      </c>
      <c r="Q111" s="33"/>
    </row>
    <row r="112" spans="1:17" ht="15" customHeight="1" x14ac:dyDescent="0.25">
      <c r="A112" s="23"/>
      <c r="B112" s="38" t="s">
        <v>109</v>
      </c>
      <c r="C112" s="25" t="s">
        <v>121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109</v>
      </c>
      <c r="C113" s="25" t="s">
        <v>122</v>
      </c>
      <c r="D113" s="26">
        <f>COUNTIFS('[1]TOTAL SUSPEK'!$F:$F,"Pecuk")</f>
        <v>0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0</v>
      </c>
      <c r="Q113" s="33"/>
    </row>
    <row r="114" spans="1:17" ht="15" customHeight="1" x14ac:dyDescent="0.25">
      <c r="A114" s="23"/>
      <c r="B114" s="38" t="s">
        <v>109</v>
      </c>
      <c r="C114" s="25" t="s">
        <v>123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124</v>
      </c>
      <c r="C115" s="25" t="s">
        <v>125</v>
      </c>
      <c r="D115" s="26">
        <f>COUNTIFS('[1]TOTAL SUSPEK'!$F:$F,"Betokan")</f>
        <v>0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4</v>
      </c>
      <c r="M115" s="30" t="e">
        <f>SUM(#REF!)</f>
        <v>#REF!</v>
      </c>
      <c r="P115" s="28">
        <f t="shared" si="1"/>
        <v>0</v>
      </c>
      <c r="Q115" s="29">
        <f>SUM(P115:P133)</f>
        <v>4</v>
      </c>
    </row>
    <row r="116" spans="1:17" x14ac:dyDescent="0.25">
      <c r="A116" s="23"/>
      <c r="B116" s="38" t="s">
        <v>124</v>
      </c>
      <c r="C116" s="25" t="s">
        <v>126</v>
      </c>
      <c r="D116" s="26">
        <f>COUNTIFS('[1]TOTAL SUSPEK'!$F:$F,"Kalicilik")</f>
        <v>0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0</v>
      </c>
      <c r="Q116" s="33"/>
    </row>
    <row r="117" spans="1:17" x14ac:dyDescent="0.25">
      <c r="A117" s="23"/>
      <c r="B117" s="38" t="s">
        <v>124</v>
      </c>
      <c r="C117" s="25" t="s">
        <v>127</v>
      </c>
      <c r="D117" s="26">
        <f>COUNTIFS('[1]TOTAL SUSPEK'!$F:$F,"Kadilangu")</f>
        <v>0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0</v>
      </c>
      <c r="Q117" s="33"/>
    </row>
    <row r="118" spans="1:17" x14ac:dyDescent="0.25">
      <c r="A118" s="23"/>
      <c r="B118" s="38" t="s">
        <v>124</v>
      </c>
      <c r="C118" s="25" t="s">
        <v>128</v>
      </c>
      <c r="D118" s="26">
        <f>COUNTIFS('[1]TOTAL SUSPEK'!$F:$F,"Singorejo")</f>
        <v>0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0</v>
      </c>
      <c r="Q118" s="33"/>
    </row>
    <row r="119" spans="1:17" x14ac:dyDescent="0.25">
      <c r="A119" s="23"/>
      <c r="B119" s="38" t="s">
        <v>124</v>
      </c>
      <c r="C119" s="25" t="s">
        <v>129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124</v>
      </c>
      <c r="C120" s="25" t="s">
        <v>130</v>
      </c>
      <c r="D120" s="26">
        <f>COUNTIFS('[1]TOTAL SUSPEK'!$F:$F,"Bintoro")</f>
        <v>0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0</v>
      </c>
      <c r="Q120" s="33"/>
    </row>
    <row r="121" spans="1:17" x14ac:dyDescent="0.25">
      <c r="A121" s="23"/>
      <c r="B121" s="38" t="s">
        <v>124</v>
      </c>
      <c r="C121" s="25" t="s">
        <v>131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124</v>
      </c>
      <c r="C122" s="25" t="s">
        <v>76</v>
      </c>
      <c r="D122" s="26">
        <f>COUNTIFS('[1]TOTAL SUSPEK'!$F:$F,"Kedondong",'[1]TOTAL SUSPEK'!$E:$E,"demak")</f>
        <v>0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0</v>
      </c>
      <c r="Q122" s="25"/>
    </row>
    <row r="123" spans="1:17" x14ac:dyDescent="0.25">
      <c r="A123" s="23"/>
      <c r="B123" s="38" t="s">
        <v>124</v>
      </c>
      <c r="C123" s="45" t="s">
        <v>132</v>
      </c>
      <c r="D123" s="26">
        <f>COUNTIFS('[1]TOTAL SUSPEK'!$F:$F,"Bango")</f>
        <v>0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0</v>
      </c>
      <c r="Q123" s="33"/>
    </row>
    <row r="124" spans="1:17" x14ac:dyDescent="0.25">
      <c r="A124" s="23"/>
      <c r="B124" s="38" t="s">
        <v>124</v>
      </c>
      <c r="C124" s="25" t="s">
        <v>133</v>
      </c>
      <c r="D124" s="26">
        <f>COUNTIFS('[1]TOTAL SUSPEK'!$F:$F,"Raji")</f>
        <v>0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0</v>
      </c>
      <c r="Q124" s="33"/>
    </row>
    <row r="125" spans="1:17" x14ac:dyDescent="0.25">
      <c r="A125" s="23"/>
      <c r="B125" s="38" t="s">
        <v>124</v>
      </c>
      <c r="C125" s="25" t="s">
        <v>134</v>
      </c>
      <c r="D125" s="26">
        <f>COUNTIFS('[1]TOTAL SUSPEK'!$F:$F,"Mulyorejo")</f>
        <v>0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0</v>
      </c>
      <c r="Q125" s="33"/>
    </row>
    <row r="126" spans="1:17" x14ac:dyDescent="0.25">
      <c r="A126" s="23"/>
      <c r="B126" s="38" t="s">
        <v>124</v>
      </c>
      <c r="C126" s="25" t="s">
        <v>135</v>
      </c>
      <c r="D126" s="26">
        <f>COUNTIFS('[1]TOTAL SUSPEK'!$F:$F,"Sedo")</f>
        <v>0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0</v>
      </c>
      <c r="Q126" s="33"/>
    </row>
    <row r="127" spans="1:17" x14ac:dyDescent="0.25">
      <c r="A127" s="23"/>
      <c r="B127" s="38" t="s">
        <v>124</v>
      </c>
      <c r="C127" s="45" t="s">
        <v>136</v>
      </c>
      <c r="D127" s="26">
        <f>COUNTIFS('[1]TOTAL SUSPEK'!$F:$F,"Bolo")</f>
        <v>0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0</v>
      </c>
      <c r="Q127" s="33"/>
    </row>
    <row r="128" spans="1:17" x14ac:dyDescent="0.25">
      <c r="A128" s="23"/>
      <c r="B128" s="38" t="s">
        <v>124</v>
      </c>
      <c r="C128" s="25" t="s">
        <v>137</v>
      </c>
      <c r="D128" s="26">
        <f>COUNTIFS('[1]TOTAL SUSPEK'!$F:$F,"Katonsari")</f>
        <v>1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1</v>
      </c>
      <c r="Q128" s="33"/>
    </row>
    <row r="129" spans="1:17" x14ac:dyDescent="0.25">
      <c r="A129" s="23"/>
      <c r="B129" s="38" t="s">
        <v>124</v>
      </c>
      <c r="C129" s="25" t="s">
        <v>138</v>
      </c>
      <c r="D129" s="26">
        <f>COUNTIFS('[1]TOTAL SUSPEK'!$F:$F,"Kalikondang")</f>
        <v>0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0</v>
      </c>
      <c r="Q129" s="33"/>
    </row>
    <row r="130" spans="1:17" x14ac:dyDescent="0.25">
      <c r="A130" s="23"/>
      <c r="B130" s="38" t="s">
        <v>124</v>
      </c>
      <c r="C130" s="25" t="s">
        <v>139</v>
      </c>
      <c r="D130" s="26">
        <f>COUNTIFS('[1]TOTAL SUSPEK'!$F:$F,"Cabean")</f>
        <v>1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1</v>
      </c>
      <c r="Q130" s="33"/>
    </row>
    <row r="131" spans="1:17" x14ac:dyDescent="0.25">
      <c r="A131" s="23"/>
      <c r="B131" s="38" t="s">
        <v>124</v>
      </c>
      <c r="C131" s="25" t="s">
        <v>140</v>
      </c>
      <c r="D131" s="26">
        <f>COUNTIFS('[1]TOTAL SUSPEK'!$F:$F,"Tempuran")</f>
        <v>0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0</v>
      </c>
      <c r="Q131" s="33"/>
    </row>
    <row r="132" spans="1:17" x14ac:dyDescent="0.25">
      <c r="A132" s="23"/>
      <c r="B132" s="38" t="s">
        <v>124</v>
      </c>
      <c r="C132" s="25" t="s">
        <v>141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124</v>
      </c>
      <c r="C133" s="25" t="s">
        <v>142</v>
      </c>
      <c r="D133" s="26">
        <f>COUNTIFS('[1]TOTAL SUSPEK'!$F:$F,"Mangunjiwan")</f>
        <v>2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2</v>
      </c>
      <c r="Q133" s="33"/>
    </row>
    <row r="134" spans="1:17" x14ac:dyDescent="0.25">
      <c r="A134" s="23">
        <v>8</v>
      </c>
      <c r="B134" s="38" t="s">
        <v>143</v>
      </c>
      <c r="C134" s="25" t="s">
        <v>144</v>
      </c>
      <c r="D134" s="26">
        <f>COUNTIFS('[1]TOTAL SUSPEK'!$F:$F,"Morodemak")</f>
        <v>0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2</v>
      </c>
      <c r="M134" s="30" t="e">
        <f>SUM(#REF!)</f>
        <v>#REF!</v>
      </c>
      <c r="P134" s="28">
        <f t="shared" si="1"/>
        <v>0</v>
      </c>
      <c r="Q134" s="29">
        <f>SUM(P134:P154)</f>
        <v>2</v>
      </c>
    </row>
    <row r="135" spans="1:17" x14ac:dyDescent="0.25">
      <c r="A135" s="23"/>
      <c r="B135" s="38" t="s">
        <v>143</v>
      </c>
      <c r="C135" s="25" t="s">
        <v>145</v>
      </c>
      <c r="D135" s="26">
        <f>COUNTIFS('[1]TOTAL SUSPEK'!$F:$F,"Purworejo")</f>
        <v>0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0</v>
      </c>
      <c r="Q135" s="33"/>
    </row>
    <row r="136" spans="1:17" x14ac:dyDescent="0.25">
      <c r="A136" s="23"/>
      <c r="B136" s="38" t="s">
        <v>143</v>
      </c>
      <c r="C136" s="25" t="s">
        <v>22</v>
      </c>
      <c r="D136" s="26">
        <f>COUNTIFS('[1]TOTAL SUSPEK'!$F:$F,"Sumberejo",'[1]TOTAL SUSPEK'!$E:$E,"bonang")</f>
        <v>0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0</v>
      </c>
      <c r="Q136" s="33"/>
    </row>
    <row r="137" spans="1:17" x14ac:dyDescent="0.25">
      <c r="A137" s="23"/>
      <c r="B137" s="38" t="s">
        <v>143</v>
      </c>
      <c r="C137" s="25" t="s">
        <v>146</v>
      </c>
      <c r="D137" s="26">
        <f>COUNTIFS('[1]TOTAL SUSPEK'!$F:$F,"Gebangarum")</f>
        <v>1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1</v>
      </c>
      <c r="Q137" s="33"/>
    </row>
    <row r="138" spans="1:17" x14ac:dyDescent="0.25">
      <c r="A138" s="23"/>
      <c r="B138" s="38" t="s">
        <v>143</v>
      </c>
      <c r="C138" s="25" t="s">
        <v>147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143</v>
      </c>
      <c r="C139" s="25" t="s">
        <v>148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143</v>
      </c>
      <c r="C140" s="25" t="s">
        <v>72</v>
      </c>
      <c r="D140" s="26">
        <f>COUNTIFS('[1]TOTAL SUSPEK'!$F:$F,"Karangrejo",'[1]TOTAL SUSPEK'!$E:$E,"bonang")</f>
        <v>0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0</v>
      </c>
      <c r="Q140" s="33"/>
    </row>
    <row r="141" spans="1:17" x14ac:dyDescent="0.25">
      <c r="A141" s="23"/>
      <c r="B141" s="38" t="s">
        <v>143</v>
      </c>
      <c r="C141" s="25" t="s">
        <v>149</v>
      </c>
      <c r="D141" s="26">
        <f>COUNTIFS('[1]TOTAL SUSPEK'!$F:$F,"Sukodono")</f>
        <v>0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0</v>
      </c>
      <c r="Q141" s="33"/>
    </row>
    <row r="142" spans="1:17" x14ac:dyDescent="0.25">
      <c r="A142" s="23"/>
      <c r="B142" s="38" t="s">
        <v>143</v>
      </c>
      <c r="C142" s="25" t="s">
        <v>150</v>
      </c>
      <c r="D142" s="26">
        <f>COUNTIFS('[1]TOTAL SUSPEK'!$F:$F,"Tlogoboyo")</f>
        <v>0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0</v>
      </c>
      <c r="Q142" s="33"/>
    </row>
    <row r="143" spans="1:17" x14ac:dyDescent="0.25">
      <c r="A143" s="23"/>
      <c r="B143" s="38" t="s">
        <v>143</v>
      </c>
      <c r="C143" s="25" t="s">
        <v>151</v>
      </c>
      <c r="D143" s="26">
        <f>COUNTIFS('[1]TOTAL SUSPEK'!$F:$F,"Margolinduk")</f>
        <v>0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0</v>
      </c>
      <c r="Q143" s="33"/>
    </row>
    <row r="144" spans="1:17" x14ac:dyDescent="0.25">
      <c r="A144" s="23"/>
      <c r="B144" s="38" t="s">
        <v>143</v>
      </c>
      <c r="C144" s="25" t="s">
        <v>152</v>
      </c>
      <c r="D144" s="26">
        <f>COUNTIFS('[1]TOTAL SUSPEK'!$F:$F,"Tridonorejo")</f>
        <v>0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0</v>
      </c>
      <c r="Q144" s="33"/>
    </row>
    <row r="145" spans="1:17" x14ac:dyDescent="0.25">
      <c r="A145" s="23"/>
      <c r="B145" s="38" t="s">
        <v>143</v>
      </c>
      <c r="C145" s="25" t="s">
        <v>153</v>
      </c>
      <c r="D145" s="26">
        <f>COUNTIFS('[1]TOTAL SUSPEK'!$F:$F,"Wonosari")</f>
        <v>0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0</v>
      </c>
      <c r="Q145" s="33"/>
    </row>
    <row r="146" spans="1:17" x14ac:dyDescent="0.25">
      <c r="A146" s="23"/>
      <c r="B146" s="38" t="s">
        <v>143</v>
      </c>
      <c r="C146" s="25" t="s">
        <v>154</v>
      </c>
      <c r="D146" s="26">
        <f>COUNTIFS('[1]TOTAL SUSPEK'!$F:$F,"Jatirogo")</f>
        <v>1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1</v>
      </c>
      <c r="Q146" s="33"/>
    </row>
    <row r="147" spans="1:17" x14ac:dyDescent="0.25">
      <c r="A147" s="23"/>
      <c r="B147" s="38" t="s">
        <v>143</v>
      </c>
      <c r="C147" s="25" t="s">
        <v>155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143</v>
      </c>
      <c r="C148" s="25" t="s">
        <v>156</v>
      </c>
      <c r="D148" s="26">
        <f>COUNTIFS('[1]TOTAL SUSPEK'!$F:$F,"Jali")</f>
        <v>0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0</v>
      </c>
      <c r="Q148" s="33"/>
    </row>
    <row r="149" spans="1:17" x14ac:dyDescent="0.25">
      <c r="A149" s="23"/>
      <c r="B149" s="38" t="s">
        <v>143</v>
      </c>
      <c r="C149" s="25" t="s">
        <v>157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143</v>
      </c>
      <c r="C150" s="25" t="s">
        <v>158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143</v>
      </c>
      <c r="C151" s="45" t="s">
        <v>159</v>
      </c>
      <c r="D151" s="26">
        <f>COUNTIFS('[1]TOTAL SUSPEK'!$F:$F,"Betahwalang")</f>
        <v>0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0</v>
      </c>
      <c r="Q151" s="33"/>
    </row>
    <row r="152" spans="1:17" x14ac:dyDescent="0.25">
      <c r="A152" s="23"/>
      <c r="B152" s="38" t="s">
        <v>143</v>
      </c>
      <c r="C152" s="25" t="s">
        <v>160</v>
      </c>
      <c r="D152" s="26">
        <f>COUNTIFS('[1]TOTAL SUSPEK'!$F:$F,"Jatimulyo")</f>
        <v>0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0</v>
      </c>
      <c r="Q152" s="33"/>
    </row>
    <row r="153" spans="1:17" x14ac:dyDescent="0.25">
      <c r="A153" s="23"/>
      <c r="B153" s="38" t="s">
        <v>143</v>
      </c>
      <c r="C153" s="25" t="s">
        <v>161</v>
      </c>
      <c r="D153" s="26">
        <f>COUNTIFS('[1]TOTAL SUSPEK'!$F:$F,"Weding")</f>
        <v>0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0</v>
      </c>
      <c r="Q153" s="33"/>
    </row>
    <row r="154" spans="1:17" x14ac:dyDescent="0.25">
      <c r="A154" s="23"/>
      <c r="B154" s="38" t="s">
        <v>143</v>
      </c>
      <c r="C154" s="25" t="s">
        <v>162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163</v>
      </c>
      <c r="C155" s="25" t="s">
        <v>164</v>
      </c>
      <c r="D155" s="26">
        <f>COUNTIFS('[1]TOTAL SUSPEK'!$F:$F,"Temuroso")</f>
        <v>1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4</v>
      </c>
      <c r="M155" s="30" t="e">
        <f>SUM(#REF!)</f>
        <v>#REF!</v>
      </c>
      <c r="P155" s="28">
        <f t="shared" si="2"/>
        <v>1</v>
      </c>
      <c r="Q155" s="29">
        <f>SUM(P155:P174)</f>
        <v>4</v>
      </c>
    </row>
    <row r="156" spans="1:17" ht="15" customHeight="1" x14ac:dyDescent="0.25">
      <c r="A156" s="23"/>
      <c r="B156" s="38" t="s">
        <v>163</v>
      </c>
      <c r="C156" s="25" t="s">
        <v>165</v>
      </c>
      <c r="D156" s="26">
        <f>COUNTIFS('[1]TOTAL SUSPEK'!$F:$F,"Turitempel")</f>
        <v>0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0</v>
      </c>
      <c r="Q156" s="33"/>
    </row>
    <row r="157" spans="1:17" ht="15" customHeight="1" x14ac:dyDescent="0.25">
      <c r="A157" s="23"/>
      <c r="B157" s="38" t="s">
        <v>163</v>
      </c>
      <c r="C157" s="25" t="s">
        <v>166</v>
      </c>
      <c r="D157" s="26">
        <f>COUNTIFS('[1]TOTAL SUSPEK'!$F:$F,"Tlogoweru")</f>
        <v>0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0</v>
      </c>
      <c r="Q157" s="33"/>
    </row>
    <row r="158" spans="1:17" ht="15" customHeight="1" x14ac:dyDescent="0.25">
      <c r="A158" s="23"/>
      <c r="B158" s="38" t="s">
        <v>163</v>
      </c>
      <c r="C158" s="25" t="s">
        <v>167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163</v>
      </c>
      <c r="C159" s="25" t="s">
        <v>168</v>
      </c>
      <c r="D159" s="26">
        <f>COUNTIFS('[1]TOTAL SUSPEK'!$F:$F,"Bakalrejo")</f>
        <v>0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0</v>
      </c>
      <c r="Q159" s="33"/>
    </row>
    <row r="160" spans="1:17" ht="15" customHeight="1" x14ac:dyDescent="0.25">
      <c r="A160" s="23"/>
      <c r="B160" s="38" t="s">
        <v>163</v>
      </c>
      <c r="C160" s="25" t="s">
        <v>69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163</v>
      </c>
      <c r="C161" s="25" t="s">
        <v>169</v>
      </c>
      <c r="D161" s="26">
        <f>COUNTIFS('[1]TOTAL SUSPEK'!$F:$F,"Bumiharjo")</f>
        <v>0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0</v>
      </c>
      <c r="Q161" s="33"/>
    </row>
    <row r="162" spans="1:17" ht="15" customHeight="1" x14ac:dyDescent="0.25">
      <c r="A162" s="23"/>
      <c r="B162" s="38" t="s">
        <v>163</v>
      </c>
      <c r="C162" s="25" t="s">
        <v>170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163</v>
      </c>
      <c r="C163" s="25" t="s">
        <v>171</v>
      </c>
      <c r="D163" s="26">
        <f>COUNTIFS('[1]TOTAL SUSPEK'!$F:$F,"Bogosari")</f>
        <v>1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1</v>
      </c>
      <c r="Q163" s="33"/>
    </row>
    <row r="164" spans="1:17" ht="15" customHeight="1" x14ac:dyDescent="0.25">
      <c r="A164" s="23"/>
      <c r="B164" s="38" t="s">
        <v>163</v>
      </c>
      <c r="C164" s="25" t="s">
        <v>172</v>
      </c>
      <c r="D164" s="26">
        <f>COUNTIFS('[1]TOTAL SUSPEK'!$F:$F,"Guntur")</f>
        <v>0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0</v>
      </c>
      <c r="Q164" s="33"/>
    </row>
    <row r="165" spans="1:17" ht="15" customHeight="1" x14ac:dyDescent="0.25">
      <c r="A165" s="23"/>
      <c r="B165" s="38" t="s">
        <v>163</v>
      </c>
      <c r="C165" s="25" t="s">
        <v>173</v>
      </c>
      <c r="D165" s="26">
        <f>COUNTIFS('[1]TOTAL SUSPEK'!$F:$F,"Blerong")</f>
        <v>0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0</v>
      </c>
      <c r="Q165" s="33"/>
    </row>
    <row r="166" spans="1:17" ht="15" customHeight="1" x14ac:dyDescent="0.25">
      <c r="A166" s="23"/>
      <c r="B166" s="38" t="s">
        <v>163</v>
      </c>
      <c r="C166" s="25" t="s">
        <v>174</v>
      </c>
      <c r="D166" s="26">
        <f>COUNTIFS('[1]TOTAL SUSPEK'!$F:$F,"Pamongan")</f>
        <v>1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1</v>
      </c>
      <c r="Q166" s="33"/>
    </row>
    <row r="167" spans="1:17" ht="15" customHeight="1" x14ac:dyDescent="0.25">
      <c r="A167" s="23"/>
      <c r="B167" s="38" t="s">
        <v>163</v>
      </c>
      <c r="C167" s="25" t="s">
        <v>175</v>
      </c>
      <c r="D167" s="26">
        <f>COUNTIFS('[1]TOTAL SUSPEK'!$F:$F,"Sukorejo")</f>
        <v>1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1</v>
      </c>
      <c r="Q167" s="33"/>
    </row>
    <row r="168" spans="1:17" ht="15" customHeight="1" x14ac:dyDescent="0.25">
      <c r="A168" s="23"/>
      <c r="B168" s="38" t="s">
        <v>163</v>
      </c>
      <c r="C168" s="25" t="s">
        <v>176</v>
      </c>
      <c r="D168" s="26">
        <f>COUNTIFS('[1]TOTAL SUSPEK'!$F:$F,"Sarirejo")</f>
        <v>0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0</v>
      </c>
      <c r="Q168" s="33"/>
    </row>
    <row r="169" spans="1:17" ht="15" customHeight="1" x14ac:dyDescent="0.25">
      <c r="A169" s="23"/>
      <c r="B169" s="38" t="s">
        <v>163</v>
      </c>
      <c r="C169" s="25" t="s">
        <v>177</v>
      </c>
      <c r="D169" s="26">
        <f>COUNTIFS('[1]TOTAL SUSPEK'!$F:$F,"Sidokumpul")</f>
        <v>0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0</v>
      </c>
      <c r="Q169" s="33"/>
    </row>
    <row r="170" spans="1:17" ht="15" customHeight="1" x14ac:dyDescent="0.25">
      <c r="A170" s="23"/>
      <c r="B170" s="38" t="s">
        <v>163</v>
      </c>
      <c r="C170" s="25" t="s">
        <v>178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163</v>
      </c>
      <c r="C171" s="25" t="s">
        <v>179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163</v>
      </c>
      <c r="C172" s="25" t="s">
        <v>180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163</v>
      </c>
      <c r="C173" s="25" t="s">
        <v>181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163</v>
      </c>
      <c r="C174" s="25" t="s">
        <v>100</v>
      </c>
      <c r="D174" s="26">
        <f>COUNTIFS('[1]TOTAL SUSPEK'!$F:$F,"Wonorejo",'[1]TOTAL SUSPEK'!$E:$E,"guntur")</f>
        <v>0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0</v>
      </c>
      <c r="Q174" s="33"/>
    </row>
    <row r="175" spans="1:17" ht="15" customHeight="1" x14ac:dyDescent="0.25">
      <c r="A175" s="46">
        <v>10</v>
      </c>
      <c r="B175" s="38" t="s">
        <v>182</v>
      </c>
      <c r="C175" s="25" t="s">
        <v>183</v>
      </c>
      <c r="D175" s="26">
        <f>COUNTIFS('[1]TOTAL SUSPEK'!$F:$F,"Bumirejo")</f>
        <v>0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16</v>
      </c>
      <c r="M175" s="30" t="e">
        <f>SUM(#REF!)</f>
        <v>#REF!</v>
      </c>
      <c r="P175" s="28">
        <f t="shared" si="2"/>
        <v>0</v>
      </c>
      <c r="Q175" s="29">
        <f>SUM(P175:P186)</f>
        <v>16</v>
      </c>
    </row>
    <row r="176" spans="1:17" ht="15" customHeight="1" x14ac:dyDescent="0.25">
      <c r="A176" s="46"/>
      <c r="B176" s="38" t="s">
        <v>182</v>
      </c>
      <c r="C176" s="25" t="s">
        <v>184</v>
      </c>
      <c r="D176" s="26">
        <f>COUNTIFS('[1]TOTAL SUSPEK'!$F:$F,"Pundenarum")</f>
        <v>1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1</v>
      </c>
      <c r="Q176" s="33"/>
    </row>
    <row r="177" spans="1:17" ht="15" customHeight="1" x14ac:dyDescent="0.25">
      <c r="A177" s="46"/>
      <c r="B177" s="38" t="s">
        <v>182</v>
      </c>
      <c r="C177" s="25" t="s">
        <v>185</v>
      </c>
      <c r="D177" s="26">
        <f>COUNTIFS('[1]TOTAL SUSPEK'!$F:$F,"Kuripan")</f>
        <v>2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2</v>
      </c>
      <c r="Q177" s="33"/>
    </row>
    <row r="178" spans="1:17" ht="15" customHeight="1" x14ac:dyDescent="0.25">
      <c r="A178" s="46"/>
      <c r="B178" s="38" t="s">
        <v>182</v>
      </c>
      <c r="C178" s="25" t="s">
        <v>186</v>
      </c>
      <c r="D178" s="26">
        <f>COUNTIFS('[1]TOTAL SUSPEK'!$F:$F,"Brambang")</f>
        <v>2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2</v>
      </c>
      <c r="Q178" s="33"/>
    </row>
    <row r="179" spans="1:17" ht="15" customHeight="1" x14ac:dyDescent="0.25">
      <c r="A179" s="46"/>
      <c r="B179" s="38" t="s">
        <v>182</v>
      </c>
      <c r="C179" s="25" t="s">
        <v>182</v>
      </c>
      <c r="D179" s="26">
        <f>COUNTIFS('[1]TOTAL SUSPEK'!$F:$F,"Karangawen")</f>
        <v>1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1</v>
      </c>
      <c r="Q179" s="33"/>
    </row>
    <row r="180" spans="1:17" ht="15" customHeight="1" x14ac:dyDescent="0.25">
      <c r="A180" s="46"/>
      <c r="B180" s="38" t="s">
        <v>182</v>
      </c>
      <c r="C180" s="25" t="s">
        <v>187</v>
      </c>
      <c r="D180" s="26">
        <f>COUNTIFS('[1]TOTAL SUSPEK'!$F:$F,"Sidorejo",'[1]TOTAL SUSPEK'!$E:$E,"karangawen")</f>
        <v>0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0</v>
      </c>
      <c r="Q180" s="33"/>
    </row>
    <row r="181" spans="1:17" ht="15" customHeight="1" x14ac:dyDescent="0.25">
      <c r="A181" s="46"/>
      <c r="B181" s="38" t="s">
        <v>182</v>
      </c>
      <c r="C181" s="25" t="s">
        <v>188</v>
      </c>
      <c r="D181" s="26">
        <f>COUNTIFS('[1]TOTAL SUSPEK'!$F:$F,"Wonosekar")</f>
        <v>1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1</v>
      </c>
      <c r="Q181" s="33"/>
    </row>
    <row r="182" spans="1:17" ht="15" customHeight="1" x14ac:dyDescent="0.25">
      <c r="A182" s="46"/>
      <c r="B182" s="38" t="s">
        <v>182</v>
      </c>
      <c r="C182" s="25" t="s">
        <v>69</v>
      </c>
      <c r="D182" s="26">
        <f>COUNTIFS('[1]TOTAL SUSPEK'!$F:$F,"Tlogorejo",'[1]TOTAL SUSPEK'!$E:$E,"Karangawen")</f>
        <v>1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1</v>
      </c>
      <c r="Q182" s="33"/>
    </row>
    <row r="183" spans="1:17" ht="15" customHeight="1" x14ac:dyDescent="0.25">
      <c r="A183" s="46"/>
      <c r="B183" s="38" t="s">
        <v>182</v>
      </c>
      <c r="C183" s="25" t="s">
        <v>41</v>
      </c>
      <c r="D183" s="26">
        <f>COUNTIFS('[1]TOTAL SUSPEK'!$F:$F,"Rejosari",'[1]TOTAL SUSPEK'!$E:$E,"karangawen")</f>
        <v>5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5</v>
      </c>
      <c r="Q183" s="33"/>
    </row>
    <row r="184" spans="1:17" ht="15" customHeight="1" x14ac:dyDescent="0.25">
      <c r="A184" s="46"/>
      <c r="B184" s="38" t="s">
        <v>182</v>
      </c>
      <c r="C184" s="25" t="s">
        <v>189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182</v>
      </c>
      <c r="C185" s="25" t="s">
        <v>190</v>
      </c>
      <c r="D185" s="26">
        <f>COUNTIFS('[1]TOTAL SUSPEK'!$F:$F,"Margohayu")</f>
        <v>1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1</v>
      </c>
      <c r="Q185" s="33"/>
    </row>
    <row r="186" spans="1:17" ht="15" customHeight="1" x14ac:dyDescent="0.25">
      <c r="A186" s="46"/>
      <c r="B186" s="38" t="s">
        <v>182</v>
      </c>
      <c r="C186" s="25" t="s">
        <v>191</v>
      </c>
      <c r="D186" s="26">
        <f>COUNTIFS('[1]TOTAL SUSPEK'!$F:$F,"Jragung")</f>
        <v>2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2</v>
      </c>
      <c r="Q186" s="33"/>
    </row>
    <row r="187" spans="1:17" x14ac:dyDescent="0.25">
      <c r="A187" s="46">
        <v>11</v>
      </c>
      <c r="B187" s="38" t="s">
        <v>192</v>
      </c>
      <c r="C187" s="25" t="s">
        <v>193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5</v>
      </c>
      <c r="M187" s="30" t="e">
        <f>SUM(#REF!)</f>
        <v>#REF!</v>
      </c>
      <c r="P187" s="28">
        <f t="shared" si="2"/>
        <v>0</v>
      </c>
      <c r="Q187" s="29">
        <f>SUM(P187:P202)</f>
        <v>5</v>
      </c>
    </row>
    <row r="188" spans="1:17" x14ac:dyDescent="0.25">
      <c r="A188" s="46"/>
      <c r="B188" s="38" t="s">
        <v>192</v>
      </c>
      <c r="C188" s="25" t="s">
        <v>192</v>
      </c>
      <c r="D188" s="26">
        <f>COUNTIFS('[1]TOTAL SUSPEK'!$F:$F,"Dempet")</f>
        <v>0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0</v>
      </c>
      <c r="Q188" s="33"/>
    </row>
    <row r="189" spans="1:17" x14ac:dyDescent="0.25">
      <c r="A189" s="46"/>
      <c r="B189" s="38" t="s">
        <v>192</v>
      </c>
      <c r="C189" s="25" t="s">
        <v>194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192</v>
      </c>
      <c r="C190" s="45" t="s">
        <v>62</v>
      </c>
      <c r="D190" s="26">
        <f>COUNTIFS('[1]TOTAL SUSPEK'!$F:$F,"Sidomulyo",'[1]TOTAL SUSPEK'!$E:$E,"dempet")</f>
        <v>2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2</v>
      </c>
      <c r="Q190" s="33"/>
    </row>
    <row r="191" spans="1:17" x14ac:dyDescent="0.25">
      <c r="A191" s="46"/>
      <c r="B191" s="38" t="s">
        <v>192</v>
      </c>
      <c r="C191" s="25" t="s">
        <v>195</v>
      </c>
      <c r="D191" s="26">
        <f>COUNTIFS('[1]TOTAL SUSPEK'!$F:$F,"Gempoldenok")</f>
        <v>0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0</v>
      </c>
      <c r="Q191" s="33"/>
    </row>
    <row r="192" spans="1:17" x14ac:dyDescent="0.25">
      <c r="A192" s="46"/>
      <c r="B192" s="38" t="s">
        <v>192</v>
      </c>
      <c r="C192" s="25" t="s">
        <v>196</v>
      </c>
      <c r="D192" s="26">
        <f>COUNTIFS('[1]TOTAL SUSPEK'!$F:$F,"Botosengon")</f>
        <v>0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0</v>
      </c>
      <c r="Q192" s="33"/>
    </row>
    <row r="193" spans="1:17" x14ac:dyDescent="0.25">
      <c r="A193" s="46"/>
      <c r="B193" s="38" t="s">
        <v>192</v>
      </c>
      <c r="C193" s="25" t="s">
        <v>197</v>
      </c>
      <c r="D193" s="26">
        <f>COUNTIFS('[1]TOTAL SUSPEK'!$F:$F,"Merak")</f>
        <v>0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0</v>
      </c>
      <c r="Q193" s="33"/>
    </row>
    <row r="194" spans="1:17" x14ac:dyDescent="0.25">
      <c r="A194" s="46"/>
      <c r="B194" s="38" t="s">
        <v>192</v>
      </c>
      <c r="C194" s="25" t="s">
        <v>198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192</v>
      </c>
      <c r="C195" s="25" t="s">
        <v>199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192</v>
      </c>
      <c r="C196" s="25" t="s">
        <v>72</v>
      </c>
      <c r="D196" s="26">
        <f>COUNTIFS('[1]TOTAL SUSPEK'!$F:$F,"Karangrejo",'[1]TOTAL SUSPEK'!$E:$E,"dempet")</f>
        <v>1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1</v>
      </c>
      <c r="Q196" s="33"/>
    </row>
    <row r="197" spans="1:17" x14ac:dyDescent="0.25">
      <c r="A197" s="46"/>
      <c r="B197" s="38" t="s">
        <v>192</v>
      </c>
      <c r="C197" s="25" t="s">
        <v>200</v>
      </c>
      <c r="D197" s="26">
        <f>COUNTIFS('[1]TOTAL SUSPEK'!$F:$F,"Baleromo")</f>
        <v>0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0</v>
      </c>
      <c r="Q197" s="33"/>
    </row>
    <row r="198" spans="1:17" x14ac:dyDescent="0.25">
      <c r="A198" s="46"/>
      <c r="B198" s="38" t="s">
        <v>192</v>
      </c>
      <c r="C198" s="25" t="s">
        <v>201</v>
      </c>
      <c r="D198" s="26">
        <f>COUNTIFS('[1]TOTAL SUSPEK'!$F:$F,"Jerukgulung")</f>
        <v>0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0</v>
      </c>
      <c r="Q198" s="33"/>
    </row>
    <row r="199" spans="1:17" x14ac:dyDescent="0.25">
      <c r="A199" s="46"/>
      <c r="B199" s="38" t="s">
        <v>192</v>
      </c>
      <c r="C199" s="25" t="s">
        <v>202</v>
      </c>
      <c r="D199" s="26">
        <f>COUNTIFS('[1]TOTAL SUSPEK'!$F:$F,"Kunir")</f>
        <v>0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0</v>
      </c>
      <c r="Q199" s="33"/>
    </row>
    <row r="200" spans="1:17" x14ac:dyDescent="0.25">
      <c r="A200" s="46"/>
      <c r="B200" s="38" t="s">
        <v>192</v>
      </c>
      <c r="C200" s="25" t="s">
        <v>203</v>
      </c>
      <c r="D200" s="26">
        <f>COUNTIFS('[1]TOTAL SUSPEK'!$F:$F,"Kedungori")</f>
        <v>0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0</v>
      </c>
      <c r="Q200" s="33"/>
    </row>
    <row r="201" spans="1:17" x14ac:dyDescent="0.25">
      <c r="A201" s="46"/>
      <c r="B201" s="38" t="s">
        <v>192</v>
      </c>
      <c r="C201" s="45" t="s">
        <v>204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192</v>
      </c>
      <c r="C202" s="25" t="s">
        <v>205</v>
      </c>
      <c r="D202" s="26">
        <f>COUNTIFS('[1]TOTAL SUSPEK'!$F:$F,"Kramat")</f>
        <v>1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1</v>
      </c>
      <c r="Q202" s="33"/>
    </row>
    <row r="203" spans="1:17" ht="15" customHeight="1" x14ac:dyDescent="0.25">
      <c r="A203" s="46">
        <v>12</v>
      </c>
      <c r="B203" s="38" t="s">
        <v>206</v>
      </c>
      <c r="C203" s="25" t="s">
        <v>207</v>
      </c>
      <c r="D203" s="26">
        <f>COUNTIFS('[1]TOTAL SUSPEK'!$F:$F,"Mangunrejo")</f>
        <v>0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10</v>
      </c>
      <c r="M203" s="30" t="e">
        <f>SUM(#REF!)</f>
        <v>#REF!</v>
      </c>
      <c r="P203" s="28">
        <f t="shared" si="3"/>
        <v>0</v>
      </c>
      <c r="Q203" s="29">
        <f>SUM(P203:P216)</f>
        <v>10</v>
      </c>
    </row>
    <row r="204" spans="1:17" ht="15" customHeight="1" x14ac:dyDescent="0.25">
      <c r="A204" s="46"/>
      <c r="B204" s="38" t="s">
        <v>206</v>
      </c>
      <c r="C204" s="25" t="s">
        <v>208</v>
      </c>
      <c r="D204" s="26">
        <f>COUNTIFS('[1]TOTAL SUSPEK'!$F:$F,"Tlogosih")</f>
        <v>1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1</v>
      </c>
      <c r="Q204" s="33"/>
    </row>
    <row r="205" spans="1:17" ht="15" customHeight="1" x14ac:dyDescent="0.25">
      <c r="A205" s="46"/>
      <c r="B205" s="38" t="s">
        <v>206</v>
      </c>
      <c r="C205" s="25" t="s">
        <v>209</v>
      </c>
      <c r="D205" s="26">
        <f>COUNTIFS('[1]TOTAL SUSPEK'!$F:$F,"Megonten")</f>
        <v>1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1</v>
      </c>
      <c r="Q205" s="33"/>
    </row>
    <row r="206" spans="1:17" ht="15" customHeight="1" x14ac:dyDescent="0.25">
      <c r="A206" s="46"/>
      <c r="B206" s="38" t="s">
        <v>206</v>
      </c>
      <c r="C206" s="25" t="s">
        <v>210</v>
      </c>
      <c r="D206" s="26">
        <f>COUNTIFS('[1]TOTAL SUSPEK'!$F:$F,"Soko kidul")</f>
        <v>1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1</v>
      </c>
      <c r="Q206" s="33"/>
    </row>
    <row r="207" spans="1:17" ht="15" customHeight="1" x14ac:dyDescent="0.25">
      <c r="A207" s="46"/>
      <c r="B207" s="38" t="s">
        <v>206</v>
      </c>
      <c r="C207" s="25" t="s">
        <v>211</v>
      </c>
      <c r="D207" s="26">
        <f>COUNTIFS('[1]TOTAL SUSPEK'!$F:$F,"Pilang wetan")</f>
        <v>1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1</v>
      </c>
      <c r="Q207" s="33"/>
    </row>
    <row r="208" spans="1:17" ht="15" customHeight="1" x14ac:dyDescent="0.25">
      <c r="A208" s="46"/>
      <c r="B208" s="38" t="s">
        <v>206</v>
      </c>
      <c r="C208" s="25" t="s">
        <v>206</v>
      </c>
      <c r="D208" s="26">
        <f>COUNTIFS('[1]TOTAL SUSPEK'!$F:$F,"Kebonagung")</f>
        <v>0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0</v>
      </c>
      <c r="Q208" s="33"/>
    </row>
    <row r="209" spans="1:17" ht="15" customHeight="1" x14ac:dyDescent="0.25">
      <c r="A209" s="46"/>
      <c r="B209" s="38" t="s">
        <v>206</v>
      </c>
      <c r="C209" s="25" t="s">
        <v>110</v>
      </c>
      <c r="D209" s="26">
        <f>COUNTIFS('[1]TOTAL SUSPEK'!$F:$F,"Mijen",'[1]TOTAL SUSPEK'!$E:$E,"kebonagung")</f>
        <v>3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3</v>
      </c>
      <c r="Q209" s="33"/>
    </row>
    <row r="210" spans="1:17" ht="15" customHeight="1" x14ac:dyDescent="0.25">
      <c r="A210" s="46"/>
      <c r="B210" s="38" t="s">
        <v>206</v>
      </c>
      <c r="C210" s="25" t="s">
        <v>212</v>
      </c>
      <c r="D210" s="26">
        <f>COUNTIFS('[1]TOTAL SUSPEK'!$F:$F,"Klampok Lor")</f>
        <v>0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0</v>
      </c>
      <c r="Q210" s="33"/>
    </row>
    <row r="211" spans="1:17" ht="15" customHeight="1" x14ac:dyDescent="0.25">
      <c r="A211" s="46"/>
      <c r="B211" s="38" t="s">
        <v>206</v>
      </c>
      <c r="C211" s="25" t="s">
        <v>213</v>
      </c>
      <c r="D211" s="26">
        <f>COUNTIFS('[1]TOTAL SUSPEK'!$F:$F,"Werdoyo")</f>
        <v>0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0</v>
      </c>
      <c r="Q211" s="33"/>
    </row>
    <row r="212" spans="1:17" ht="15" customHeight="1" x14ac:dyDescent="0.25">
      <c r="A212" s="46"/>
      <c r="B212" s="38" t="s">
        <v>206</v>
      </c>
      <c r="C212" s="25" t="s">
        <v>214</v>
      </c>
      <c r="D212" s="26">
        <f>COUNTIFS('[1]TOTAL SUSPEK'!$F:$F,"Babat")</f>
        <v>0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0</v>
      </c>
      <c r="Q212" s="33"/>
    </row>
    <row r="213" spans="1:17" ht="15" customHeight="1" x14ac:dyDescent="0.25">
      <c r="A213" s="46"/>
      <c r="B213" s="38" t="s">
        <v>206</v>
      </c>
      <c r="C213" s="25" t="s">
        <v>215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206</v>
      </c>
      <c r="C214" s="25" t="s">
        <v>216</v>
      </c>
      <c r="D214" s="26">
        <f>COUNTIFS('[1]TOTAL SUSPEK'!$F:$F,"Sarimulyo")</f>
        <v>0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0</v>
      </c>
      <c r="Q214" s="33"/>
    </row>
    <row r="215" spans="1:17" ht="15" customHeight="1" x14ac:dyDescent="0.25">
      <c r="A215" s="46"/>
      <c r="B215" s="38" t="s">
        <v>206</v>
      </c>
      <c r="C215" s="25" t="s">
        <v>217</v>
      </c>
      <c r="D215" s="26">
        <f>COUNTIFS('[1]TOTAL SUSPEK'!$F:$F,"Solowire")</f>
        <v>0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0</v>
      </c>
      <c r="Q215" s="33"/>
    </row>
    <row r="216" spans="1:17" ht="15" customHeight="1" x14ac:dyDescent="0.25">
      <c r="A216" s="46"/>
      <c r="B216" s="38" t="s">
        <v>206</v>
      </c>
      <c r="C216" s="25" t="s">
        <v>218</v>
      </c>
      <c r="D216" s="26">
        <f>COUNTIFS('[1]TOTAL SUSPEK'!$F:$F,"Mangunan Lor")</f>
        <v>3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3</v>
      </c>
      <c r="Q216" s="33"/>
    </row>
    <row r="217" spans="1:17" x14ac:dyDescent="0.25">
      <c r="A217" s="46">
        <v>13</v>
      </c>
      <c r="B217" s="38" t="s">
        <v>219</v>
      </c>
      <c r="C217" s="25" t="s">
        <v>220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12</v>
      </c>
      <c r="M217" s="30" t="e">
        <f>SUM(#REF!)</f>
        <v>#REF!</v>
      </c>
      <c r="N217" s="47" t="s">
        <v>221</v>
      </c>
      <c r="P217" s="28">
        <f t="shared" si="3"/>
        <v>0</v>
      </c>
      <c r="Q217" s="29">
        <f>SUM(P217:P236)</f>
        <v>12</v>
      </c>
    </row>
    <row r="218" spans="1:17" x14ac:dyDescent="0.25">
      <c r="A218" s="46"/>
      <c r="B218" s="38" t="s">
        <v>219</v>
      </c>
      <c r="C218" s="25" t="s">
        <v>222</v>
      </c>
      <c r="D218" s="26">
        <f>COUNTIFS('[1]TOTAL SUSPEK'!$F:$F,"Gemulak")</f>
        <v>0</v>
      </c>
      <c r="E218" s="30"/>
      <c r="F218" s="31"/>
      <c r="G218" s="31" t="s">
        <v>223</v>
      </c>
      <c r="H218" s="31"/>
      <c r="I218" s="31"/>
      <c r="J218" s="31"/>
      <c r="K218" s="32"/>
      <c r="L218" s="32"/>
      <c r="M218" s="32"/>
      <c r="N218" s="48" t="s">
        <v>224</v>
      </c>
      <c r="P218" s="28">
        <f t="shared" si="3"/>
        <v>0</v>
      </c>
      <c r="Q218" s="33"/>
    </row>
    <row r="219" spans="1:17" x14ac:dyDescent="0.25">
      <c r="A219" s="46"/>
      <c r="B219" s="38" t="s">
        <v>219</v>
      </c>
      <c r="C219" s="25" t="s">
        <v>225</v>
      </c>
      <c r="D219" s="26">
        <f>COUNTIFS('[1]TOTAL SUSPEK'!$F:$F,"Sriwulan")</f>
        <v>1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226</v>
      </c>
      <c r="P219" s="28">
        <f t="shared" si="3"/>
        <v>1</v>
      </c>
      <c r="Q219" s="33"/>
    </row>
    <row r="220" spans="1:17" x14ac:dyDescent="0.25">
      <c r="A220" s="46"/>
      <c r="B220" s="38" t="s">
        <v>219</v>
      </c>
      <c r="C220" s="25" t="s">
        <v>227</v>
      </c>
      <c r="D220" s="26">
        <f>COUNTIFS('[1]TOTAL SUSPEK'!$F:$F,"Tugu")</f>
        <v>0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228</v>
      </c>
      <c r="P220" s="28">
        <f t="shared" si="3"/>
        <v>0</v>
      </c>
      <c r="Q220" s="33"/>
    </row>
    <row r="221" spans="1:17" x14ac:dyDescent="0.25">
      <c r="A221" s="46"/>
      <c r="B221" s="38" t="s">
        <v>219</v>
      </c>
      <c r="C221" s="25" t="s">
        <v>229</v>
      </c>
      <c r="D221" s="26">
        <f>COUNTIFS('[1]TOTAL SUSPEK'!$F:$F,"Purwosari")</f>
        <v>0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230</v>
      </c>
      <c r="P221" s="28">
        <f t="shared" si="3"/>
        <v>0</v>
      </c>
      <c r="Q221" s="33"/>
    </row>
    <row r="222" spans="1:17" x14ac:dyDescent="0.25">
      <c r="A222" s="46"/>
      <c r="B222" s="38" t="s">
        <v>219</v>
      </c>
      <c r="C222" s="25" t="s">
        <v>83</v>
      </c>
      <c r="D222" s="26">
        <f>COUNTIFS('[1]TOTAL SUSPEK'!$F:$F,"surodadi",'[1]TOTAL SUSPEK'!$E:$E,"sayung")</f>
        <v>0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231</v>
      </c>
      <c r="P222" s="28">
        <f t="shared" si="3"/>
        <v>0</v>
      </c>
      <c r="Q222" s="33"/>
    </row>
    <row r="223" spans="1:17" x14ac:dyDescent="0.25">
      <c r="A223" s="46"/>
      <c r="B223" s="38" t="s">
        <v>219</v>
      </c>
      <c r="C223" s="25" t="s">
        <v>187</v>
      </c>
      <c r="D223" s="26">
        <f>COUNTIFS('[1]TOTAL SUSPEK'!$F:$F,"sidorejo",'[1]TOTAL SUSPEK'!$E:$E,"sayung")</f>
        <v>0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231</v>
      </c>
      <c r="P223" s="28">
        <f t="shared" si="3"/>
        <v>0</v>
      </c>
      <c r="Q223" s="33"/>
    </row>
    <row r="224" spans="1:17" x14ac:dyDescent="0.25">
      <c r="A224" s="46"/>
      <c r="B224" s="38" t="s">
        <v>219</v>
      </c>
      <c r="C224" s="25" t="s">
        <v>232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230</v>
      </c>
      <c r="P224" s="28">
        <f t="shared" si="3"/>
        <v>0</v>
      </c>
      <c r="Q224" s="33"/>
    </row>
    <row r="225" spans="1:17" x14ac:dyDescent="0.25">
      <c r="A225" s="46"/>
      <c r="B225" s="38" t="s">
        <v>219</v>
      </c>
      <c r="C225" s="25" t="s">
        <v>77</v>
      </c>
      <c r="D225" s="26">
        <f>COUNTIFS('[1]TOTAL SUSPEK'!$F:$F,"banjarsari",'[1]TOTAL SUSPEK'!$E:$E,"sayung")</f>
        <v>0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233</v>
      </c>
      <c r="P225" s="28">
        <f t="shared" si="3"/>
        <v>0</v>
      </c>
      <c r="Q225" s="33"/>
    </row>
    <row r="226" spans="1:17" x14ac:dyDescent="0.25">
      <c r="A226" s="46"/>
      <c r="B226" s="38" t="s">
        <v>219</v>
      </c>
      <c r="C226" s="25" t="s">
        <v>234</v>
      </c>
      <c r="D226" s="26">
        <f>COUNTIFS('[1]TOTAL SUSPEK'!$F:$F,"sidogemah")</f>
        <v>1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235</v>
      </c>
      <c r="P226" s="28">
        <f t="shared" si="3"/>
        <v>1</v>
      </c>
      <c r="Q226" s="33"/>
    </row>
    <row r="227" spans="1:17" x14ac:dyDescent="0.25">
      <c r="A227" s="46"/>
      <c r="B227" s="38" t="s">
        <v>219</v>
      </c>
      <c r="C227" s="25" t="s">
        <v>236</v>
      </c>
      <c r="D227" s="26">
        <f>COUNTIFS('[1]TOTAL SUSPEK'!$F:$F,"Tambakroto")</f>
        <v>0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230</v>
      </c>
      <c r="P227" s="28">
        <f t="shared" si="3"/>
        <v>0</v>
      </c>
      <c r="Q227" s="33"/>
    </row>
    <row r="228" spans="1:17" x14ac:dyDescent="0.25">
      <c r="A228" s="46"/>
      <c r="B228" s="38" t="s">
        <v>219</v>
      </c>
      <c r="C228" s="25" t="s">
        <v>237</v>
      </c>
      <c r="D228" s="26">
        <f>COUNTIFS('[1]TOTAL SUSPEK'!$F:$F,"Kalisari")</f>
        <v>0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0</v>
      </c>
      <c r="Q228" s="33"/>
    </row>
    <row r="229" spans="1:17" x14ac:dyDescent="0.25">
      <c r="A229" s="46"/>
      <c r="B229" s="38" t="s">
        <v>219</v>
      </c>
      <c r="C229" s="25" t="s">
        <v>238</v>
      </c>
      <c r="D229" s="26">
        <f>COUNTIFS('[1]TOTAL SUSPEK'!$F:$F,"Dombo")</f>
        <v>2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2</v>
      </c>
      <c r="Q229" s="33"/>
    </row>
    <row r="230" spans="1:17" x14ac:dyDescent="0.25">
      <c r="A230" s="46"/>
      <c r="B230" s="38" t="s">
        <v>219</v>
      </c>
      <c r="C230" s="25" t="s">
        <v>239</v>
      </c>
      <c r="D230" s="26">
        <f>COUNTIFS('[1]TOTAL SUSPEK'!$F:$F,"Bulusari")</f>
        <v>2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2</v>
      </c>
      <c r="Q230" s="33"/>
    </row>
    <row r="231" spans="1:17" x14ac:dyDescent="0.25">
      <c r="A231" s="46"/>
      <c r="B231" s="38" t="s">
        <v>219</v>
      </c>
      <c r="C231" s="25" t="s">
        <v>240</v>
      </c>
      <c r="D231" s="26">
        <f>COUNTIFS('[1]TOTAL SUSPEK'!$F:$F,"Jetaksari")</f>
        <v>1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1</v>
      </c>
      <c r="Q231" s="33"/>
    </row>
    <row r="232" spans="1:17" x14ac:dyDescent="0.25">
      <c r="A232" s="46"/>
      <c r="B232" s="38" t="s">
        <v>219</v>
      </c>
      <c r="C232" s="25" t="s">
        <v>241</v>
      </c>
      <c r="D232" s="26">
        <f>COUNTIFS('[1]TOTAL SUSPEK'!$F:$F,"Karangasem")</f>
        <v>1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1</v>
      </c>
      <c r="Q232" s="33"/>
    </row>
    <row r="233" spans="1:17" x14ac:dyDescent="0.25">
      <c r="A233" s="46"/>
      <c r="B233" s="38" t="s">
        <v>219</v>
      </c>
      <c r="C233" s="25" t="s">
        <v>242</v>
      </c>
      <c r="D233" s="26">
        <f>COUNTIFS('[1]TOTAL SUSPEK'!$F:$F,"Prampelan")</f>
        <v>0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0</v>
      </c>
      <c r="Q233" s="33"/>
    </row>
    <row r="234" spans="1:17" x14ac:dyDescent="0.25">
      <c r="A234" s="46"/>
      <c r="B234" s="38" t="s">
        <v>219</v>
      </c>
      <c r="C234" s="25" t="s">
        <v>243</v>
      </c>
      <c r="D234" s="26">
        <f>COUNTIFS('[1]TOTAL SUSPEK'!$F:$F,"Sayung")</f>
        <v>3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3</v>
      </c>
      <c r="Q234" s="33"/>
    </row>
    <row r="235" spans="1:17" x14ac:dyDescent="0.25">
      <c r="A235" s="46"/>
      <c r="B235" s="38" t="s">
        <v>219</v>
      </c>
      <c r="C235" s="25" t="s">
        <v>244</v>
      </c>
      <c r="D235" s="26">
        <f>COUNTIFS('[1]TOTAL SUSPEK'!$F:$F,"Pilangsari")</f>
        <v>1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1</v>
      </c>
      <c r="Q235" s="33"/>
    </row>
    <row r="236" spans="1:17" x14ac:dyDescent="0.25">
      <c r="A236" s="46"/>
      <c r="B236" s="38" t="s">
        <v>219</v>
      </c>
      <c r="C236" s="25" t="s">
        <v>245</v>
      </c>
      <c r="D236" s="26">
        <f>COUNTIFS('[1]TOTAL SUSPEK'!$F:$F,"loireng")</f>
        <v>0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0</v>
      </c>
      <c r="Q236" s="33"/>
    </row>
    <row r="237" spans="1:17" x14ac:dyDescent="0.25">
      <c r="A237" s="46">
        <v>14</v>
      </c>
      <c r="B237" s="38" t="s">
        <v>246</v>
      </c>
      <c r="C237" s="25" t="s">
        <v>246</v>
      </c>
      <c r="D237" s="26">
        <f>COUNTIFS('[1]TOTAL SUSPEK'!$F:$F,"Wedung")</f>
        <v>1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3</v>
      </c>
      <c r="M237" s="30" t="e">
        <f>SUM(#REF!)</f>
        <v>#REF!</v>
      </c>
      <c r="P237" s="28">
        <f t="shared" si="3"/>
        <v>1</v>
      </c>
      <c r="Q237" s="29">
        <f>SUM(P237:P256)</f>
        <v>3</v>
      </c>
    </row>
    <row r="238" spans="1:17" x14ac:dyDescent="0.25">
      <c r="A238" s="46"/>
      <c r="B238" s="38" t="s">
        <v>246</v>
      </c>
      <c r="C238" s="25" t="s">
        <v>247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246</v>
      </c>
      <c r="C239" s="25" t="s">
        <v>248</v>
      </c>
      <c r="D239" s="26">
        <f>COUNTIFS('[1]TOTAL SUSPEK'!$F:$F,"Bungo")</f>
        <v>0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0</v>
      </c>
      <c r="Q239" s="33"/>
    </row>
    <row r="240" spans="1:17" x14ac:dyDescent="0.25">
      <c r="A240" s="46"/>
      <c r="B240" s="38" t="s">
        <v>246</v>
      </c>
      <c r="C240" s="25" t="s">
        <v>249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246</v>
      </c>
      <c r="C241" s="25" t="s">
        <v>250</v>
      </c>
      <c r="D241" s="26">
        <f>COUNTIFS('[1]TOTAL SUSPEK'!$F:$F,"Kenduren")</f>
        <v>0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0</v>
      </c>
      <c r="Q241" s="33"/>
    </row>
    <row r="242" spans="1:17" x14ac:dyDescent="0.25">
      <c r="A242" s="46"/>
      <c r="B242" s="38" t="s">
        <v>246</v>
      </c>
      <c r="C242" s="25" t="s">
        <v>251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246</v>
      </c>
      <c r="C243" s="25" t="s">
        <v>252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246</v>
      </c>
      <c r="C244" s="25" t="s">
        <v>253</v>
      </c>
      <c r="D244" s="26">
        <f>COUNTIFS('[1]TOTAL SUSPEK'!$F:$F,"Berahan Wetan")</f>
        <v>0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0</v>
      </c>
      <c r="Q244" s="33"/>
    </row>
    <row r="245" spans="1:17" x14ac:dyDescent="0.25">
      <c r="A245" s="46"/>
      <c r="B245" s="38" t="s">
        <v>246</v>
      </c>
      <c r="C245" s="25" t="s">
        <v>254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246</v>
      </c>
      <c r="C246" s="25" t="s">
        <v>255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246</v>
      </c>
      <c r="C247" s="25" t="s">
        <v>256</v>
      </c>
      <c r="D247" s="26">
        <f>COUNTIFS('[1]TOTAL SUSPEK'!$F:$F,"Kedungkarang")</f>
        <v>0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0</v>
      </c>
      <c r="Q247" s="33"/>
    </row>
    <row r="248" spans="1:17" x14ac:dyDescent="0.25">
      <c r="A248" s="46"/>
      <c r="B248" s="38" t="s">
        <v>246</v>
      </c>
      <c r="C248" s="25" t="s">
        <v>257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246</v>
      </c>
      <c r="C249" s="25" t="s">
        <v>258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246</v>
      </c>
      <c r="C250" s="25" t="s">
        <v>259</v>
      </c>
      <c r="D250" s="26">
        <f>COUNTIFS('[1]TOTAL SUSPEK'!$F:$F,"Jetak")</f>
        <v>1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1</v>
      </c>
      <c r="Q250" s="33"/>
    </row>
    <row r="251" spans="1:17" x14ac:dyDescent="0.25">
      <c r="A251" s="46"/>
      <c r="B251" s="38" t="s">
        <v>246</v>
      </c>
      <c r="C251" s="25" t="s">
        <v>260</v>
      </c>
      <c r="D251" s="26">
        <f>COUNTIFS('[1]TOTAL SUSPEK'!$F:$F,"Jungpasir")</f>
        <v>0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0</v>
      </c>
      <c r="Q251" s="33"/>
    </row>
    <row r="252" spans="1:17" x14ac:dyDescent="0.25">
      <c r="A252" s="46"/>
      <c r="B252" s="38" t="s">
        <v>246</v>
      </c>
      <c r="C252" s="25" t="s">
        <v>261</v>
      </c>
      <c r="D252" s="26">
        <f>COUNTIFS('[1]TOTAL SUSPEK'!$F:$F,"Mutih kulon")</f>
        <v>1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1</v>
      </c>
      <c r="Q252" s="33"/>
    </row>
    <row r="253" spans="1:17" x14ac:dyDescent="0.25">
      <c r="A253" s="46"/>
      <c r="B253" s="38" t="s">
        <v>246</v>
      </c>
      <c r="C253" s="25" t="s">
        <v>262</v>
      </c>
      <c r="D253" s="26">
        <f>COUNTIFS('[1]TOTAL SUSPEK'!$F:$F,"Mutih Wetan")</f>
        <v>0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0</v>
      </c>
      <c r="Q253" s="33"/>
    </row>
    <row r="254" spans="1:17" x14ac:dyDescent="0.25">
      <c r="A254" s="46"/>
      <c r="B254" s="38" t="s">
        <v>246</v>
      </c>
      <c r="C254" s="25" t="s">
        <v>263</v>
      </c>
      <c r="D254" s="26">
        <f>COUNTIFS('[1]TOTAL SUSPEK'!$F:$F,"Kendalasem")</f>
        <v>0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0</v>
      </c>
      <c r="Q254" s="33"/>
    </row>
    <row r="255" spans="1:17" x14ac:dyDescent="0.25">
      <c r="A255" s="46"/>
      <c r="B255" s="38" t="s">
        <v>246</v>
      </c>
      <c r="C255" s="25" t="s">
        <v>264</v>
      </c>
      <c r="D255" s="26">
        <f>COUNTIFS('[1]TOTAL SUSPEK'!$F:$F,"Babalan")</f>
        <v>0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0</v>
      </c>
      <c r="Q255" s="33"/>
    </row>
    <row r="256" spans="1:17" x14ac:dyDescent="0.25">
      <c r="A256" s="46"/>
      <c r="B256" s="38" t="s">
        <v>246</v>
      </c>
      <c r="C256" s="25" t="s">
        <v>265</v>
      </c>
      <c r="D256" s="26">
        <f>COUNTIFS('[1]TOTAL SUSPEK'!$F:$F,"Tedunan")</f>
        <v>0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0</v>
      </c>
      <c r="Q256" s="33"/>
    </row>
    <row r="257" spans="1:17" x14ac:dyDescent="0.25">
      <c r="A257" s="51"/>
      <c r="B257" s="52" t="s">
        <v>266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267</v>
      </c>
      <c r="B258" s="57"/>
      <c r="C258" s="58"/>
      <c r="D258" s="59">
        <f t="shared" ref="D258" si="4">SUM(D8:D257)</f>
        <v>91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91</v>
      </c>
      <c r="M258" s="60" t="e">
        <f t="shared" si="5"/>
        <v>#REF!</v>
      </c>
      <c r="O258" s="3">
        <f>SUM(O8:O257)</f>
        <v>0</v>
      </c>
      <c r="P258" s="61">
        <f>SUM(P8:P257)</f>
        <v>91</v>
      </c>
      <c r="Q258" s="59">
        <f>SUM(Q8:Q257)</f>
        <v>91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268</v>
      </c>
    </row>
    <row r="319" spans="1:2" customFormat="1" x14ac:dyDescent="0.25">
      <c r="A319" s="65"/>
    </row>
    <row r="320" spans="1:2" customFormat="1" x14ac:dyDescent="0.25">
      <c r="A320" s="46" t="s">
        <v>3</v>
      </c>
      <c r="B320" s="67" t="s">
        <v>269</v>
      </c>
    </row>
    <row r="321" spans="1:2" customFormat="1" x14ac:dyDescent="0.25">
      <c r="A321" s="68" t="s">
        <v>270</v>
      </c>
      <c r="B321" s="33" t="s">
        <v>271</v>
      </c>
    </row>
    <row r="322" spans="1:2" customFormat="1" x14ac:dyDescent="0.25">
      <c r="A322" s="68" t="s">
        <v>272</v>
      </c>
      <c r="B322" s="33" t="s">
        <v>23</v>
      </c>
    </row>
    <row r="323" spans="1:2" customFormat="1" x14ac:dyDescent="0.25">
      <c r="A323" s="68" t="s">
        <v>273</v>
      </c>
      <c r="B323" s="33" t="s">
        <v>35</v>
      </c>
    </row>
    <row r="324" spans="1:2" customFormat="1" x14ac:dyDescent="0.25">
      <c r="A324" s="68" t="s">
        <v>274</v>
      </c>
      <c r="B324" s="33" t="s">
        <v>44</v>
      </c>
    </row>
    <row r="325" spans="1:2" customFormat="1" x14ac:dyDescent="0.25">
      <c r="A325" s="68" t="s">
        <v>275</v>
      </c>
      <c r="B325" s="33" t="s">
        <v>39</v>
      </c>
    </row>
    <row r="326" spans="1:2" customFormat="1" x14ac:dyDescent="0.25">
      <c r="A326" s="68" t="s">
        <v>276</v>
      </c>
      <c r="B326" s="33" t="s">
        <v>55</v>
      </c>
    </row>
    <row r="327" spans="1:2" customFormat="1" x14ac:dyDescent="0.25">
      <c r="A327" s="68" t="s">
        <v>277</v>
      </c>
      <c r="B327" s="33" t="s">
        <v>59</v>
      </c>
    </row>
    <row r="328" spans="1:2" customFormat="1" x14ac:dyDescent="0.25">
      <c r="A328" s="68" t="s">
        <v>278</v>
      </c>
      <c r="B328" s="33" t="s">
        <v>56</v>
      </c>
    </row>
    <row r="329" spans="1:2" customFormat="1" x14ac:dyDescent="0.25">
      <c r="A329" s="68" t="s">
        <v>279</v>
      </c>
      <c r="B329" s="33" t="s">
        <v>77</v>
      </c>
    </row>
    <row r="330" spans="1:2" customFormat="1" x14ac:dyDescent="0.25">
      <c r="A330" s="68" t="s">
        <v>280</v>
      </c>
      <c r="B330" s="33" t="s">
        <v>86</v>
      </c>
    </row>
    <row r="331" spans="1:2" customFormat="1" x14ac:dyDescent="0.25">
      <c r="A331" s="68" t="s">
        <v>281</v>
      </c>
      <c r="B331" s="33" t="s">
        <v>75</v>
      </c>
    </row>
    <row r="332" spans="1:2" customFormat="1" x14ac:dyDescent="0.25">
      <c r="A332" s="68" t="s">
        <v>282</v>
      </c>
      <c r="B332" s="33" t="s">
        <v>85</v>
      </c>
    </row>
    <row r="333" spans="1:2" customFormat="1" x14ac:dyDescent="0.25">
      <c r="A333" s="68" t="s">
        <v>283</v>
      </c>
      <c r="B333" s="33" t="s">
        <v>97</v>
      </c>
    </row>
    <row r="334" spans="1:2" customFormat="1" x14ac:dyDescent="0.25">
      <c r="A334" s="68" t="s">
        <v>284</v>
      </c>
      <c r="B334" s="33" t="s">
        <v>285</v>
      </c>
    </row>
    <row r="335" spans="1:2" customFormat="1" x14ac:dyDescent="0.25">
      <c r="A335" s="68" t="s">
        <v>286</v>
      </c>
      <c r="B335" s="33" t="s">
        <v>287</v>
      </c>
    </row>
    <row r="336" spans="1:2" customFormat="1" x14ac:dyDescent="0.25">
      <c r="A336" s="68" t="s">
        <v>288</v>
      </c>
      <c r="B336" s="33" t="s">
        <v>93</v>
      </c>
    </row>
    <row r="337" spans="1:2" customFormat="1" x14ac:dyDescent="0.25">
      <c r="A337" s="68" t="s">
        <v>289</v>
      </c>
      <c r="B337" s="33" t="s">
        <v>102</v>
      </c>
    </row>
    <row r="338" spans="1:2" customFormat="1" x14ac:dyDescent="0.25">
      <c r="A338" s="68" t="s">
        <v>290</v>
      </c>
      <c r="B338" s="33" t="s">
        <v>23</v>
      </c>
    </row>
    <row r="339" spans="1:2" customFormat="1" x14ac:dyDescent="0.25">
      <c r="A339" s="68" t="s">
        <v>291</v>
      </c>
      <c r="B339" s="33" t="s">
        <v>130</v>
      </c>
    </row>
    <row r="340" spans="1:2" customFormat="1" x14ac:dyDescent="0.25">
      <c r="A340" s="68" t="s">
        <v>292</v>
      </c>
      <c r="B340" s="33" t="s">
        <v>136</v>
      </c>
    </row>
    <row r="341" spans="1:2" customFormat="1" x14ac:dyDescent="0.25">
      <c r="A341" s="68" t="s">
        <v>293</v>
      </c>
      <c r="B341" s="33" t="s">
        <v>137</v>
      </c>
    </row>
    <row r="342" spans="1:2" customFormat="1" x14ac:dyDescent="0.25">
      <c r="A342" s="68" t="s">
        <v>294</v>
      </c>
      <c r="B342" s="33" t="s">
        <v>138</v>
      </c>
    </row>
    <row r="343" spans="1:2" customFormat="1" x14ac:dyDescent="0.25">
      <c r="A343" s="68" t="s">
        <v>295</v>
      </c>
      <c r="B343" s="33" t="s">
        <v>22</v>
      </c>
    </row>
    <row r="344" spans="1:2" customFormat="1" x14ac:dyDescent="0.25">
      <c r="A344" s="68" t="s">
        <v>296</v>
      </c>
      <c r="B344" s="33" t="s">
        <v>149</v>
      </c>
    </row>
    <row r="345" spans="1:2" customFormat="1" x14ac:dyDescent="0.25">
      <c r="A345" s="68" t="s">
        <v>297</v>
      </c>
      <c r="B345" s="33" t="s">
        <v>164</v>
      </c>
    </row>
    <row r="346" spans="1:2" customFormat="1" x14ac:dyDescent="0.25">
      <c r="A346" s="68" t="s">
        <v>298</v>
      </c>
      <c r="B346" s="33" t="s">
        <v>183</v>
      </c>
    </row>
    <row r="347" spans="1:2" customFormat="1" x14ac:dyDescent="0.25">
      <c r="A347" s="68" t="s">
        <v>299</v>
      </c>
      <c r="B347" s="33" t="s">
        <v>202</v>
      </c>
    </row>
    <row r="348" spans="1:2" customFormat="1" x14ac:dyDescent="0.25">
      <c r="A348" s="68" t="s">
        <v>300</v>
      </c>
      <c r="B348" s="33" t="s">
        <v>222</v>
      </c>
    </row>
    <row r="349" spans="1:2" customFormat="1" x14ac:dyDescent="0.25">
      <c r="A349" s="68" t="s">
        <v>301</v>
      </c>
      <c r="B349" s="33" t="s">
        <v>246</v>
      </c>
    </row>
    <row r="350" spans="1:2" customFormat="1" x14ac:dyDescent="0.25">
      <c r="A350" s="68" t="s">
        <v>302</v>
      </c>
      <c r="B350" s="33" t="s">
        <v>265</v>
      </c>
    </row>
    <row r="351" spans="1:2" customFormat="1" x14ac:dyDescent="0.25">
      <c r="A351" s="68" t="s">
        <v>303</v>
      </c>
      <c r="B351" s="33" t="s">
        <v>258</v>
      </c>
    </row>
    <row r="354" spans="1:2" customFormat="1" x14ac:dyDescent="0.25">
      <c r="A354" s="69" t="s">
        <v>304</v>
      </c>
      <c r="B354" s="69"/>
    </row>
    <row r="356" spans="1:2" customFormat="1" x14ac:dyDescent="0.25">
      <c r="A356" s="46" t="s">
        <v>3</v>
      </c>
      <c r="B356" s="67" t="s">
        <v>269</v>
      </c>
    </row>
    <row r="357" spans="1:2" customFormat="1" x14ac:dyDescent="0.25">
      <c r="A357" s="68" t="s">
        <v>270</v>
      </c>
      <c r="B357" s="33" t="s">
        <v>40</v>
      </c>
    </row>
    <row r="358" spans="1:2" customFormat="1" x14ac:dyDescent="0.25">
      <c r="A358" s="68" t="s">
        <v>272</v>
      </c>
      <c r="B358" s="33" t="s">
        <v>46</v>
      </c>
    </row>
    <row r="359" spans="1:2" customFormat="1" x14ac:dyDescent="0.25">
      <c r="A359" s="68" t="s">
        <v>273</v>
      </c>
      <c r="B359" s="33" t="s">
        <v>61</v>
      </c>
    </row>
    <row r="360" spans="1:2" customFormat="1" x14ac:dyDescent="0.25">
      <c r="A360" s="68" t="s">
        <v>274</v>
      </c>
      <c r="B360" s="33" t="s">
        <v>62</v>
      </c>
    </row>
    <row r="361" spans="1:2" customFormat="1" x14ac:dyDescent="0.25">
      <c r="A361" s="68" t="s">
        <v>275</v>
      </c>
      <c r="B361" s="33" t="s">
        <v>108</v>
      </c>
    </row>
    <row r="362" spans="1:2" customFormat="1" x14ac:dyDescent="0.25">
      <c r="A362" s="68" t="s">
        <v>276</v>
      </c>
      <c r="B362" s="33" t="s">
        <v>125</v>
      </c>
    </row>
    <row r="363" spans="1:2" customFormat="1" x14ac:dyDescent="0.25">
      <c r="A363" s="68" t="s">
        <v>277</v>
      </c>
      <c r="B363" s="33" t="s">
        <v>151</v>
      </c>
    </row>
    <row r="364" spans="1:2" customFormat="1" x14ac:dyDescent="0.25">
      <c r="A364" s="68" t="s">
        <v>278</v>
      </c>
      <c r="B364" s="33" t="s">
        <v>305</v>
      </c>
    </row>
    <row r="365" spans="1:2" customFormat="1" x14ac:dyDescent="0.25">
      <c r="A365" s="68" t="s">
        <v>279</v>
      </c>
      <c r="B365" s="33" t="s">
        <v>157</v>
      </c>
    </row>
    <row r="366" spans="1:2" customFormat="1" x14ac:dyDescent="0.25">
      <c r="A366" s="68" t="s">
        <v>280</v>
      </c>
      <c r="B366" s="33" t="s">
        <v>187</v>
      </c>
    </row>
    <row r="367" spans="1:2" customFormat="1" x14ac:dyDescent="0.25">
      <c r="A367" s="68" t="s">
        <v>281</v>
      </c>
      <c r="B367" s="33" t="s">
        <v>193</v>
      </c>
    </row>
    <row r="368" spans="1:2" customFormat="1" x14ac:dyDescent="0.25">
      <c r="A368" s="68" t="s">
        <v>282</v>
      </c>
      <c r="B368" s="33" t="s">
        <v>72</v>
      </c>
    </row>
    <row r="369" spans="1:2" customFormat="1" x14ac:dyDescent="0.25">
      <c r="A369" s="68" t="s">
        <v>283</v>
      </c>
      <c r="B369" s="33" t="s">
        <v>197</v>
      </c>
    </row>
    <row r="370" spans="1:2" customFormat="1" x14ac:dyDescent="0.25">
      <c r="A370" s="68" t="s">
        <v>284</v>
      </c>
      <c r="B370" s="33" t="s">
        <v>77</v>
      </c>
    </row>
    <row r="371" spans="1:2" customFormat="1" x14ac:dyDescent="0.25">
      <c r="A371" s="68" t="s">
        <v>286</v>
      </c>
      <c r="B371" s="33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2021-07-26T03:45:17Z</dcterms:created>
  <dcterms:modified xsi:type="dcterms:W3CDTF">2021-07-26T03:45:39Z</dcterms:modified>
</cp:coreProperties>
</file>