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TW 4\umkm\"/>
    </mc:Choice>
  </mc:AlternateContent>
  <xr:revisionPtr revIDLastSave="0" documentId="13_ncr:1_{75BE6C4E-4780-4DC6-978E-09BDC6F3BBF6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KK" sheetId="2" r:id="rId1"/>
    <sheet name="Sheet1" sheetId="1" r:id="rId2"/>
  </sheets>
  <definedNames>
    <definedName name="_xlnm.Print_Area" localSheetId="0">IKK!$A$1:$W$49</definedName>
    <definedName name="_xlnm.Print_Area" localSheetId="1">Sheet1!$A$1:$W$49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8" i="2" l="1"/>
  <c r="B49" i="2" s="1"/>
  <c r="P13" i="2"/>
  <c r="M13" i="2"/>
  <c r="F13" i="2"/>
  <c r="E13" i="2"/>
  <c r="W12" i="2"/>
  <c r="T12" i="2"/>
  <c r="S12" i="2"/>
  <c r="Q12" i="2"/>
  <c r="M12" i="2"/>
  <c r="L12" i="2"/>
  <c r="N12" i="2" s="1"/>
  <c r="K12" i="2"/>
  <c r="J12" i="2"/>
  <c r="H12" i="2"/>
  <c r="G12" i="2"/>
  <c r="I12" i="2" s="1"/>
  <c r="F12" i="2"/>
  <c r="W11" i="2"/>
  <c r="V11" i="2"/>
  <c r="V13" i="2" s="1"/>
  <c r="U11" i="2"/>
  <c r="U13" i="2" s="1"/>
  <c r="T11" i="2"/>
  <c r="S11" i="2"/>
  <c r="R11" i="2"/>
  <c r="R13" i="2" s="1"/>
  <c r="Q11" i="2"/>
  <c r="Q13" i="2" s="1"/>
  <c r="O11" i="2"/>
  <c r="M11" i="2"/>
  <c r="L11" i="2"/>
  <c r="N11" i="2" s="1"/>
  <c r="K11" i="2"/>
  <c r="J11" i="2"/>
  <c r="H11" i="2"/>
  <c r="I11" i="2" s="1"/>
  <c r="G11" i="2"/>
  <c r="E11" i="2"/>
  <c r="W10" i="2"/>
  <c r="W13" i="2" s="1"/>
  <c r="V10" i="2"/>
  <c r="U10" i="2"/>
  <c r="T10" i="2"/>
  <c r="T13" i="2" s="1"/>
  <c r="S10" i="2"/>
  <c r="S13" i="2" s="1"/>
  <c r="R10" i="2"/>
  <c r="Q10" i="2"/>
  <c r="O10" i="2"/>
  <c r="O13" i="2" s="1"/>
  <c r="N10" i="2"/>
  <c r="M10" i="2"/>
  <c r="L10" i="2"/>
  <c r="L13" i="2" s="1"/>
  <c r="K10" i="2"/>
  <c r="K13" i="2" s="1"/>
  <c r="J10" i="2"/>
  <c r="J13" i="2" s="1"/>
  <c r="H10" i="2"/>
  <c r="H13" i="2" s="1"/>
  <c r="G10" i="2"/>
  <c r="I10" i="2" s="1"/>
  <c r="D10" i="2"/>
  <c r="D13" i="2" s="1"/>
  <c r="I13" i="2" l="1"/>
  <c r="V14" i="2"/>
  <c r="N13" i="2"/>
  <c r="G13" i="2"/>
  <c r="C10" i="2"/>
  <c r="C13" i="2" s="1"/>
  <c r="T12" i="1"/>
  <c r="W11" i="1"/>
  <c r="S11" i="1"/>
  <c r="T11" i="1"/>
  <c r="T10" i="1"/>
  <c r="O10" i="1"/>
  <c r="W10" i="1"/>
  <c r="Y10" i="1"/>
  <c r="Q10" i="1"/>
  <c r="L10" i="1"/>
  <c r="M11" i="1"/>
  <c r="L11" i="1"/>
  <c r="M10" i="1"/>
  <c r="K11" i="1"/>
  <c r="K10" i="1"/>
  <c r="K12" i="1"/>
  <c r="J11" i="1"/>
  <c r="J12" i="1"/>
  <c r="J13" i="1"/>
  <c r="J10" i="1"/>
  <c r="H12" i="1"/>
  <c r="H11" i="1"/>
  <c r="G11" i="1"/>
  <c r="H10" i="1"/>
  <c r="G10" i="1"/>
  <c r="F12" i="1"/>
  <c r="E11" i="1"/>
  <c r="D10" i="1"/>
  <c r="Q11" i="1" l="1"/>
  <c r="W12" i="1"/>
  <c r="S12" i="1"/>
  <c r="G13" i="1"/>
  <c r="G12" i="1"/>
  <c r="L12" i="1"/>
  <c r="D13" i="1"/>
  <c r="I10" i="1" l="1"/>
  <c r="X10" i="1"/>
  <c r="AB10" i="1" s="1"/>
  <c r="V10" i="1"/>
  <c r="F13" i="1"/>
  <c r="N10" i="1"/>
  <c r="M12" i="1"/>
  <c r="V11" i="1"/>
  <c r="U11" i="1"/>
  <c r="U10" i="1"/>
  <c r="S10" i="1"/>
  <c r="R11" i="1"/>
  <c r="R10" i="1"/>
  <c r="Q12" i="1"/>
  <c r="X12" i="1" s="1"/>
  <c r="O11" i="1"/>
  <c r="H13" i="1"/>
  <c r="N12" i="1"/>
  <c r="X11" i="1" l="1"/>
  <c r="X13" i="1" s="1"/>
  <c r="N11" i="1"/>
  <c r="C10" i="1"/>
  <c r="C13" i="1" s="1"/>
  <c r="T13" i="1" l="1"/>
  <c r="I11" i="1" l="1"/>
  <c r="I59" i="1"/>
  <c r="H59" i="1"/>
  <c r="F59" i="1"/>
  <c r="I58" i="1"/>
  <c r="H58" i="1"/>
  <c r="F57" i="1"/>
  <c r="F58" i="1" s="1"/>
  <c r="K52" i="1"/>
  <c r="K56" i="1" s="1"/>
  <c r="D48" i="1"/>
  <c r="B48" i="1"/>
  <c r="B49" i="1" s="1"/>
  <c r="C45" i="1"/>
  <c r="C46" i="1" s="1"/>
  <c r="D44" i="1"/>
  <c r="D45" i="1" s="1"/>
  <c r="C37" i="1"/>
  <c r="C39" i="1" s="1"/>
  <c r="D36" i="1"/>
  <c r="D38" i="1" s="1"/>
  <c r="D34" i="1"/>
  <c r="D31" i="1"/>
  <c r="Y21" i="1"/>
  <c r="Y22" i="1" s="1"/>
  <c r="W13" i="1"/>
  <c r="P13" i="1"/>
  <c r="M13" i="1"/>
  <c r="I12" i="1"/>
  <c r="V13" i="1"/>
  <c r="S13" i="1"/>
  <c r="O13" i="1"/>
  <c r="U13" i="1"/>
  <c r="R13" i="1"/>
  <c r="Q13" i="1"/>
  <c r="F60" i="1" l="1"/>
  <c r="I13" i="1"/>
  <c r="I60" i="1"/>
  <c r="K54" i="1"/>
  <c r="K57" i="1" s="1"/>
  <c r="H60" i="1"/>
  <c r="K13" i="1"/>
  <c r="Y11" i="1"/>
  <c r="E13" i="1"/>
  <c r="V14" i="1"/>
  <c r="C52" i="1"/>
  <c r="L13" i="1"/>
  <c r="AA10" i="1"/>
  <c r="N13" i="1"/>
  <c r="Z11" i="1" l="1"/>
  <c r="C35" i="1"/>
  <c r="C32" i="1"/>
  <c r="C55" i="1"/>
  <c r="C49" i="1"/>
  <c r="C29" i="1"/>
  <c r="AA11" i="1"/>
  <c r="Z10" i="1"/>
  <c r="Z12" i="1" l="1"/>
</calcChain>
</file>

<file path=xl/sharedStrings.xml><?xml version="1.0" encoding="utf-8"?>
<sst xmlns="http://schemas.openxmlformats.org/spreadsheetml/2006/main" count="91" uniqueCount="43">
  <si>
    <t xml:space="preserve">DATA KERAGAAN UMKM KABUPATEN DEMAK </t>
  </si>
  <si>
    <t>PROVINSI JAWA TENGAH</t>
  </si>
  <si>
    <t>NO</t>
  </si>
  <si>
    <t>KAB/KOTA</t>
  </si>
  <si>
    <t>JUMLAH UMKM</t>
  </si>
  <si>
    <t>JUMLAH USAHA MIKRO</t>
  </si>
  <si>
    <t>JUMLAH USAHA KECIL</t>
  </si>
  <si>
    <t>JUMLAH USAHA MENENGAH</t>
  </si>
  <si>
    <t>TENAGA KERJA</t>
  </si>
  <si>
    <t>JUMLAH ASSET/TAHUN</t>
  </si>
  <si>
    <t>JUMLAH OMSET/TAHUN</t>
  </si>
  <si>
    <t>JENIS KELAMIN PEMILIK</t>
  </si>
  <si>
    <t>*) SEKTOR USAHA (JUMLAH)</t>
  </si>
  <si>
    <t>L</t>
  </si>
  <si>
    <t>P</t>
  </si>
  <si>
    <t>JUMLAH</t>
  </si>
  <si>
    <t>(Rp)</t>
  </si>
  <si>
    <t>1.</t>
  </si>
  <si>
    <t>DEMAK</t>
  </si>
  <si>
    <t>*) SEKTOR USAHA :</t>
  </si>
  <si>
    <t>1. Pertanian, Peternakan, Kehutanan &amp; Perikanan</t>
  </si>
  <si>
    <t>2. Pertambangan dan Penggalian</t>
  </si>
  <si>
    <t>3. Industri Pengolahan</t>
  </si>
  <si>
    <t>4. Listrik, Gas dan Air Bersih</t>
  </si>
  <si>
    <t>5. Bangunan</t>
  </si>
  <si>
    <t>6. Perdagangan, Hotel dan Restoran</t>
  </si>
  <si>
    <t>7. Pengangkutan dan Komunikasi</t>
  </si>
  <si>
    <t>8. Keuangan, Persewaan dan Jasa Perusahaan</t>
  </si>
  <si>
    <t>9. Jasa - Jasa Swasta</t>
  </si>
  <si>
    <t>Triwulan II</t>
  </si>
  <si>
    <t>Triwulan I</t>
  </si>
  <si>
    <t>1. Persentase UMKM yang naik skala usaha</t>
  </si>
  <si>
    <t>=</t>
  </si>
  <si>
    <t>Jumlah Usaha Mikro yg Menjadi Usaha Kecil
-----------------------------------------------------------X 100%
Jumlah seluruh Usaha Kecil</t>
  </si>
  <si>
    <t>2. Peningkatan Omset UKM</t>
  </si>
  <si>
    <t>Jumlah Peningkatan Omset
--------------------------------------------------------------------------------X 100%
Jumlah Omset per Tahun</t>
  </si>
  <si>
    <t>TAHUN 2025</t>
  </si>
  <si>
    <t xml:space="preserve">                 183
            -----------------X 100%=3,59%
                 5093</t>
  </si>
  <si>
    <t>297.280.324.540
                           -----------------------------------X 100% = 2,87%
10.362.385.357.000</t>
  </si>
  <si>
    <t>TRIWULAN IV</t>
  </si>
  <si>
    <t>Triwulan IV</t>
  </si>
  <si>
    <t>Jumlah aset UMKM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</si>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</sst>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(* #,##0.00_);_(* \(#,##0.00\);_(* &quot;-&quot;??_);_(@_)"/>
    <numFmt numFmtId="165" formatCode="_-* #,##0.00_-;\-* #,##0.00_-;_-* &quot;-&quot;_-;_-@_-"/>
    <numFmt numFmtId="166" formatCode="_(* #,##0.0_);_(* \(#,##0.0\);_(* &quot;-&quot;??_);_(@_)"/>
  </numFmts>
  <fonts count="14" x14ac:knownFonts="1">
    <font>
      <sz val="11"/>
      <color theme="1"/>
      <name val="Calibri"/>
      <charset val="1"/>
      <scheme val="minor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u/>
      <sz val="11"/>
      <name val="Arial"/>
      <family val="2"/>
    </font>
    <font>
      <b/>
      <u/>
      <sz val="11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12" fillId="0" borderId="0"/>
  </cellStyleXfs>
  <cellXfs count="81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3" applyFont="1" applyFill="1" applyAlignment="1">
      <alignment vertical="top"/>
    </xf>
    <xf numFmtId="3" fontId="1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" fontId="1" fillId="0" borderId="0" xfId="0" applyNumberFormat="1" applyFont="1" applyAlignment="1">
      <alignment vertical="top"/>
    </xf>
    <xf numFmtId="4" fontId="7" fillId="0" borderId="0" xfId="0" applyNumberFormat="1" applyFont="1" applyAlignment="1">
      <alignment vertical="center"/>
    </xf>
    <xf numFmtId="0" fontId="5" fillId="0" borderId="0" xfId="0" applyFont="1"/>
    <xf numFmtId="0" fontId="7" fillId="0" borderId="0" xfId="0" applyFont="1"/>
    <xf numFmtId="3" fontId="7" fillId="0" borderId="0" xfId="0" applyNumberFormat="1" applyFont="1"/>
    <xf numFmtId="3" fontId="5" fillId="0" borderId="0" xfId="0" applyNumberFormat="1" applyFont="1"/>
    <xf numFmtId="41" fontId="2" fillId="0" borderId="0" xfId="2" applyFont="1"/>
    <xf numFmtId="165" fontId="2" fillId="0" borderId="0" xfId="2" applyNumberFormat="1" applyFont="1"/>
    <xf numFmtId="2" fontId="7" fillId="0" borderId="0" xfId="0" applyNumberFormat="1" applyFont="1"/>
    <xf numFmtId="20" fontId="5" fillId="0" borderId="0" xfId="0" applyNumberFormat="1" applyFont="1"/>
    <xf numFmtId="165" fontId="2" fillId="0" borderId="0" xfId="0" applyNumberFormat="1" applyFont="1"/>
    <xf numFmtId="41" fontId="2" fillId="0" borderId="0" xfId="0" applyNumberFormat="1" applyFont="1"/>
    <xf numFmtId="3" fontId="4" fillId="2" borderId="1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3" fontId="1" fillId="0" borderId="0" xfId="0" applyNumberFormat="1" applyFont="1"/>
    <xf numFmtId="1" fontId="7" fillId="0" borderId="0" xfId="0" applyNumberFormat="1" applyFont="1"/>
    <xf numFmtId="41" fontId="7" fillId="0" borderId="0" xfId="0" applyNumberFormat="1" applyFont="1"/>
    <xf numFmtId="41" fontId="7" fillId="0" borderId="0" xfId="2" applyFont="1" applyBorder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3" fontId="2" fillId="0" borderId="0" xfId="0" applyNumberFormat="1" applyFont="1"/>
    <xf numFmtId="3" fontId="5" fillId="2" borderId="0" xfId="3" quotePrefix="1" applyNumberFormat="1" applyFont="1" applyFill="1" applyAlignment="1">
      <alignment horizontal="left" vertical="top"/>
    </xf>
    <xf numFmtId="0" fontId="5" fillId="0" borderId="0" xfId="0" quotePrefix="1" applyFont="1"/>
    <xf numFmtId="41" fontId="5" fillId="0" borderId="0" xfId="2" quotePrefix="1" applyFont="1"/>
    <xf numFmtId="3" fontId="9" fillId="0" borderId="0" xfId="0" applyNumberFormat="1" applyFont="1" applyAlignment="1">
      <alignment horizontal="center" vertical="top"/>
    </xf>
    <xf numFmtId="3" fontId="10" fillId="0" borderId="0" xfId="0" applyNumberFormat="1" applyFont="1" applyAlignment="1">
      <alignment horizontal="center" vertical="top"/>
    </xf>
    <xf numFmtId="166" fontId="7" fillId="0" borderId="0" xfId="1" applyNumberFormat="1" applyFont="1" applyAlignment="1">
      <alignment vertical="center"/>
    </xf>
    <xf numFmtId="0" fontId="7" fillId="0" borderId="0" xfId="0" applyFont="1" applyAlignment="1">
      <alignment horizontal="right" vertical="center"/>
    </xf>
    <xf numFmtId="41" fontId="7" fillId="0" borderId="0" xfId="2" applyFont="1" applyAlignment="1">
      <alignment vertical="center"/>
    </xf>
    <xf numFmtId="165" fontId="7" fillId="0" borderId="0" xfId="2" applyNumberFormat="1" applyFont="1" applyAlignment="1">
      <alignment vertical="center"/>
    </xf>
    <xf numFmtId="41" fontId="8" fillId="0" borderId="0" xfId="2" applyFont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4" fontId="1" fillId="0" borderId="0" xfId="0" applyNumberFormat="1" applyFont="1" applyAlignment="1">
      <alignment vertical="center"/>
    </xf>
    <xf numFmtId="41" fontId="1" fillId="0" borderId="0" xfId="2" applyFont="1" applyAlignment="1">
      <alignment vertical="center"/>
    </xf>
    <xf numFmtId="41" fontId="1" fillId="0" borderId="0" xfId="0" applyNumberFormat="1" applyFont="1" applyAlignment="1">
      <alignment vertical="center"/>
    </xf>
    <xf numFmtId="41" fontId="7" fillId="0" borderId="0" xfId="0" quotePrefix="1" applyNumberFormat="1" applyFont="1"/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3" fontId="4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4">
    <cellStyle name="Comma" xfId="1" builtinId="3"/>
    <cellStyle name="Comma [0]" xfId="2" builtinId="6"/>
    <cellStyle name="Normal" xfId="0" builtinId="0"/>
    <cellStyle name="Normal 5" xfId="3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8B455-8804-4855-8333-CE70B0DC81C4}">
  <dimension ref="A1:AC84"/>
  <sheetViews>
    <sheetView tabSelected="1" view="pageBreakPreview" topLeftCell="F8" zoomScale="118" zoomScaleNormal="100" zoomScaleSheetLayoutView="118" zoomScalePageLayoutView="70" workbookViewId="0">
      <selection activeCell="F36" sqref="F36"/>
    </sheetView>
  </sheetViews>
  <sheetFormatPr defaultColWidth="9.140625" defaultRowHeight="14.25" x14ac:dyDescent="0.2"/>
  <cols>
    <col min="1" max="1" width="4.7109375" style="4" customWidth="1"/>
    <col min="2" max="2" width="20.42578125" style="4" customWidth="1"/>
    <col min="3" max="4" width="10.7109375" style="4" customWidth="1"/>
    <col min="5" max="5" width="10.5703125" style="4" customWidth="1"/>
    <col min="6" max="6" width="13.7109375" style="4" customWidth="1"/>
    <col min="7" max="7" width="9.42578125" style="4" customWidth="1"/>
    <col min="8" max="8" width="13.85546875" style="4" customWidth="1"/>
    <col min="9" max="9" width="11.7109375" style="4" customWidth="1"/>
    <col min="10" max="10" width="25.85546875" style="4" customWidth="1"/>
    <col min="11" max="11" width="27.7109375" style="4" customWidth="1"/>
    <col min="12" max="12" width="9.85546875" style="4" customWidth="1"/>
    <col min="13" max="13" width="11.42578125" style="4" customWidth="1"/>
    <col min="14" max="14" width="10.85546875" style="4" customWidth="1"/>
    <col min="15" max="18" width="9.140625" style="4"/>
    <col min="19" max="19" width="10.42578125" style="4" customWidth="1"/>
    <col min="20" max="20" width="12.42578125" style="4" customWidth="1"/>
    <col min="21" max="23" width="9.140625" style="4"/>
    <col min="24" max="24" width="9.140625" style="5" customWidth="1"/>
    <col min="25" max="25" width="9.140625" style="5"/>
    <col min="26" max="26" width="13.7109375" style="5" customWidth="1"/>
    <col min="27" max="29" width="9.140625" style="5"/>
    <col min="30" max="16384" width="9.140625" style="4"/>
  </cols>
  <sheetData>
    <row r="1" spans="1:29" ht="18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</row>
    <row r="2" spans="1:29" ht="18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</row>
    <row r="3" spans="1:29" ht="18" x14ac:dyDescent="0.25">
      <c r="A3" s="77" t="s">
        <v>36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</row>
    <row r="4" spans="1:29" ht="18" x14ac:dyDescent="0.25">
      <c r="A4" s="77" t="s">
        <v>39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</row>
    <row r="5" spans="1:29" x14ac:dyDescent="0.2">
      <c r="A5" s="4" t="s">
        <v>41</v>
      </c>
    </row>
    <row r="7" spans="1:29" s="1" customFormat="1" ht="37.5" customHeight="1" x14ac:dyDescent="0.25">
      <c r="A7" s="75" t="s">
        <v>2</v>
      </c>
      <c r="B7" s="75" t="s">
        <v>3</v>
      </c>
      <c r="C7" s="78" t="s">
        <v>4</v>
      </c>
      <c r="D7" s="78" t="s">
        <v>5</v>
      </c>
      <c r="E7" s="78" t="s">
        <v>6</v>
      </c>
      <c r="F7" s="78" t="s">
        <v>7</v>
      </c>
      <c r="G7" s="75" t="s">
        <v>8</v>
      </c>
      <c r="H7" s="75"/>
      <c r="I7" s="75"/>
      <c r="J7" s="65" t="s">
        <v>9</v>
      </c>
      <c r="K7" s="65" t="s">
        <v>10</v>
      </c>
      <c r="L7" s="75" t="s">
        <v>11</v>
      </c>
      <c r="M7" s="75"/>
      <c r="N7" s="75"/>
      <c r="O7" s="75" t="s">
        <v>12</v>
      </c>
      <c r="P7" s="75"/>
      <c r="Q7" s="75"/>
      <c r="R7" s="75"/>
      <c r="S7" s="75"/>
      <c r="T7" s="75"/>
      <c r="U7" s="75"/>
      <c r="V7" s="75"/>
      <c r="W7" s="75"/>
      <c r="X7" s="45"/>
      <c r="Y7" s="45"/>
      <c r="Z7" s="45"/>
      <c r="AA7" s="45"/>
      <c r="AB7" s="45"/>
      <c r="AC7" s="45"/>
    </row>
    <row r="8" spans="1:29" ht="24.75" customHeight="1" x14ac:dyDescent="0.2">
      <c r="A8" s="75"/>
      <c r="B8" s="75"/>
      <c r="C8" s="78"/>
      <c r="D8" s="78"/>
      <c r="E8" s="78"/>
      <c r="F8" s="78"/>
      <c r="G8" s="7" t="s">
        <v>13</v>
      </c>
      <c r="H8" s="7" t="s">
        <v>14</v>
      </c>
      <c r="I8" s="7" t="s">
        <v>15</v>
      </c>
      <c r="J8" s="7" t="s">
        <v>16</v>
      </c>
      <c r="K8" s="7" t="s">
        <v>16</v>
      </c>
      <c r="L8" s="7" t="s">
        <v>13</v>
      </c>
      <c r="M8" s="7" t="s">
        <v>14</v>
      </c>
      <c r="N8" s="7" t="s">
        <v>15</v>
      </c>
      <c r="O8" s="7">
        <v>1</v>
      </c>
      <c r="P8" s="7">
        <v>2</v>
      </c>
      <c r="Q8" s="7">
        <v>3</v>
      </c>
      <c r="R8" s="7">
        <v>4</v>
      </c>
      <c r="S8" s="7">
        <v>5</v>
      </c>
      <c r="T8" s="7">
        <v>6</v>
      </c>
      <c r="U8" s="7">
        <v>7</v>
      </c>
      <c r="V8" s="7">
        <v>8</v>
      </c>
      <c r="W8" s="7">
        <v>9</v>
      </c>
    </row>
    <row r="9" spans="1:29" s="2" customFormat="1" x14ac:dyDescent="0.2">
      <c r="A9" s="64">
        <v>1</v>
      </c>
      <c r="B9" s="64">
        <v>2</v>
      </c>
      <c r="C9" s="76">
        <v>3</v>
      </c>
      <c r="D9" s="76"/>
      <c r="E9" s="76"/>
      <c r="F9" s="76"/>
      <c r="G9" s="76">
        <v>4</v>
      </c>
      <c r="H9" s="76"/>
      <c r="I9" s="76"/>
      <c r="J9" s="64">
        <v>5</v>
      </c>
      <c r="K9" s="64">
        <v>6</v>
      </c>
      <c r="L9" s="76">
        <v>7</v>
      </c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46"/>
      <c r="Y9" s="46"/>
      <c r="Z9" s="46"/>
      <c r="AA9" s="46"/>
      <c r="AB9" s="46"/>
      <c r="AC9" s="46"/>
    </row>
    <row r="10" spans="1:29" s="3" customFormat="1" ht="36.75" customHeight="1" x14ac:dyDescent="0.25">
      <c r="A10" s="7" t="s">
        <v>17</v>
      </c>
      <c r="B10" s="9" t="s">
        <v>18</v>
      </c>
      <c r="C10" s="10">
        <f>D10+E11+F12</f>
        <v>47690</v>
      </c>
      <c r="D10" s="10">
        <f>38288+4813-4321+1533+1477</f>
        <v>41790</v>
      </c>
      <c r="E10" s="11"/>
      <c r="F10" s="11"/>
      <c r="G10" s="11">
        <f>20167+67+1220+190+11849+183+139</f>
        <v>33815</v>
      </c>
      <c r="H10" s="10">
        <f>34528+289+1928+248+11847+750+738</f>
        <v>50328</v>
      </c>
      <c r="I10" s="11">
        <f>G10+H10</f>
        <v>84143</v>
      </c>
      <c r="J10" s="11">
        <f>128605412000+96090600+115257102896+32900000001+523225000+384286005858+59370000000</f>
        <v>721037836355</v>
      </c>
      <c r="K10" s="11">
        <f>847281765200+96090600+980000000+115257102896+5000000000+5000000000+294355099540+100000000000+200000000+200000000</f>
        <v>1368370058236</v>
      </c>
      <c r="L10" s="11">
        <f>13384-359+925+482+2018+53+2813+783+2121</f>
        <v>22220</v>
      </c>
      <c r="M10" s="11">
        <f>15506-359+236+1928+74+2235+100+2018+47+2000-4321+750+2112</f>
        <v>22326</v>
      </c>
      <c r="N10" s="11">
        <f>L10+M10</f>
        <v>44546</v>
      </c>
      <c r="O10" s="10">
        <f>8620+36+49+196+326+10+159+12+23+157</f>
        <v>9588</v>
      </c>
      <c r="P10" s="10">
        <v>0</v>
      </c>
      <c r="Q10" s="10">
        <f>1479+51+260+1000+35+50+469+7+577+876+750+478</f>
        <v>6032</v>
      </c>
      <c r="R10" s="10">
        <f>441+12+234+387+831+33</f>
        <v>1938</v>
      </c>
      <c r="S10" s="10">
        <f>440+26+526+241+57+59+218</f>
        <v>1567</v>
      </c>
      <c r="T10" s="10">
        <f>11768+527+328+755+903+2864-3776+2963+2306+127+246+65+200+608+226+526-4321+500+420+222</f>
        <v>17457</v>
      </c>
      <c r="U10" s="10">
        <f>281+9+45+24+113</f>
        <v>472</v>
      </c>
      <c r="V10" s="10">
        <f>691+9+3+7+13+9+2+120+1300</f>
        <v>2154</v>
      </c>
      <c r="W10" s="10">
        <f>1054+19+656+59+311+283+200</f>
        <v>2582</v>
      </c>
      <c r="X10" s="47"/>
      <c r="Y10" s="47"/>
      <c r="Z10" s="47"/>
      <c r="AA10" s="47"/>
      <c r="AB10" s="47"/>
      <c r="AC10" s="49"/>
    </row>
    <row r="11" spans="1:29" s="3" customFormat="1" ht="36.75" customHeight="1" x14ac:dyDescent="0.25">
      <c r="A11" s="9"/>
      <c r="B11" s="9"/>
      <c r="C11" s="11"/>
      <c r="D11" s="11"/>
      <c r="E11" s="10">
        <f>5051+257+78+77</f>
        <v>5463</v>
      </c>
      <c r="F11" s="11"/>
      <c r="G11" s="11">
        <f>7137+169+462+109+17+100+3751+29+40</f>
        <v>11814</v>
      </c>
      <c r="H11" s="10">
        <f>3571+50+37</f>
        <v>3658</v>
      </c>
      <c r="I11" s="11">
        <f>G11+H11</f>
        <v>15472</v>
      </c>
      <c r="J11" s="11">
        <f>338496090600+96090600+423568908891+43876600002+115257102896+7794199321+3125520000+250045045585+450000000000</f>
        <v>1632259557895</v>
      </c>
      <c r="K11" s="11">
        <f>432710428526+96090600+272284463132+24230550000+115257102896+50000000000+50000000000+1925225000+177635936233+92545312078+132200000000</f>
        <v>1348885108465</v>
      </c>
      <c r="L11" s="11">
        <f>2823+101+19+6+100+5+37+100-407+100+29+1333</f>
        <v>4246</v>
      </c>
      <c r="M11" s="11">
        <f>1742+40+79+80+20+63+15+20-57+157-300+157+407+50+1450</f>
        <v>3923</v>
      </c>
      <c r="N11" s="11">
        <f>L11+M11</f>
        <v>8169</v>
      </c>
      <c r="O11" s="10">
        <f>1232+2+4+3</f>
        <v>1241</v>
      </c>
      <c r="P11" s="10">
        <v>0</v>
      </c>
      <c r="Q11" s="10">
        <f>419+5+9+6+9-50+27+50</f>
        <v>475</v>
      </c>
      <c r="R11" s="10">
        <f>127+3+4+25+30+13</f>
        <v>202</v>
      </c>
      <c r="S11" s="10">
        <f>180+7+9+16+9+109+20</f>
        <v>350</v>
      </c>
      <c r="T11" s="10">
        <f>1695+22+39+12+T23+1093+20-200-607+57+200-299+34+29+21+50</f>
        <v>2166</v>
      </c>
      <c r="U11" s="10">
        <f>119+5+9+14+15</f>
        <v>162</v>
      </c>
      <c r="V11" s="10">
        <f>467+5+13+16+16+6+5</f>
        <v>528</v>
      </c>
      <c r="W11" s="10">
        <f>272+3+6+1+16+5+29+7</f>
        <v>339</v>
      </c>
      <c r="X11" s="47"/>
      <c r="Y11" s="47"/>
      <c r="Z11" s="47"/>
      <c r="AA11" s="47"/>
      <c r="AB11" s="49"/>
      <c r="AC11" s="49"/>
    </row>
    <row r="12" spans="1:29" s="3" customFormat="1" ht="36.75" customHeight="1" x14ac:dyDescent="0.25">
      <c r="A12" s="9"/>
      <c r="B12" s="9"/>
      <c r="C12" s="11"/>
      <c r="D12" s="11"/>
      <c r="E12" s="11"/>
      <c r="F12" s="10">
        <f>408+17+5+7</f>
        <v>437</v>
      </c>
      <c r="G12" s="11">
        <f>17117+145+5</f>
        <v>17267</v>
      </c>
      <c r="H12" s="7">
        <f>6811+145+7</f>
        <v>6963</v>
      </c>
      <c r="I12" s="11">
        <f>G12+H12</f>
        <v>24230</v>
      </c>
      <c r="J12" s="11">
        <f>4958993960000+8993960000+79034566613+1378750032747</f>
        <v>6425772519360</v>
      </c>
      <c r="K12" s="11">
        <f>8138917478610+8993960000+185090624156+105154111052</f>
        <v>8438156173818</v>
      </c>
      <c r="L12" s="11">
        <f>336+3+10+5</f>
        <v>354</v>
      </c>
      <c r="M12" s="11">
        <f>66+3+7</f>
        <v>76</v>
      </c>
      <c r="N12" s="11">
        <f>L12+M12</f>
        <v>430</v>
      </c>
      <c r="O12" s="10">
        <v>60</v>
      </c>
      <c r="P12" s="10">
        <v>1</v>
      </c>
      <c r="Q12" s="10">
        <f>82+3</f>
        <v>85</v>
      </c>
      <c r="R12" s="10">
        <v>2</v>
      </c>
      <c r="S12" s="10">
        <f>12+4+1</f>
        <v>17</v>
      </c>
      <c r="T12" s="10">
        <f>93+7+8+2+7</f>
        <v>117</v>
      </c>
      <c r="U12" s="10">
        <v>3</v>
      </c>
      <c r="V12" s="10">
        <v>148</v>
      </c>
      <c r="W12" s="10">
        <f>2+2</f>
        <v>4</v>
      </c>
      <c r="X12" s="47"/>
      <c r="Y12" s="49"/>
      <c r="Z12" s="47"/>
      <c r="AA12" s="49"/>
      <c r="AB12" s="49"/>
      <c r="AC12" s="49"/>
    </row>
    <row r="13" spans="1:29" s="3" customFormat="1" ht="54" customHeight="1" x14ac:dyDescent="0.25">
      <c r="A13" s="9"/>
      <c r="B13" s="12" t="s">
        <v>15</v>
      </c>
      <c r="C13" s="13">
        <f>C10</f>
        <v>47690</v>
      </c>
      <c r="D13" s="13">
        <f>D10</f>
        <v>41790</v>
      </c>
      <c r="E13" s="13">
        <f>E11</f>
        <v>5463</v>
      </c>
      <c r="F13" s="13">
        <f>F12</f>
        <v>437</v>
      </c>
      <c r="G13" s="13">
        <f>SUM(G10:G12)</f>
        <v>62896</v>
      </c>
      <c r="H13" s="13">
        <f>SUM(H10:H12)</f>
        <v>60949</v>
      </c>
      <c r="I13" s="13">
        <f>SUM(I10:I12)</f>
        <v>123845</v>
      </c>
      <c r="J13" s="79">
        <f>SUM(J10:J12)</f>
        <v>8779069913610</v>
      </c>
      <c r="K13" s="33">
        <f t="shared" ref="K13:M13" si="0">SUM(K10:K12)</f>
        <v>11155411340519</v>
      </c>
      <c r="L13" s="13">
        <f t="shared" si="0"/>
        <v>26820</v>
      </c>
      <c r="M13" s="13">
        <f t="shared" si="0"/>
        <v>26325</v>
      </c>
      <c r="N13" s="13">
        <f>SUM(N10:N12)</f>
        <v>53145</v>
      </c>
      <c r="O13" s="13">
        <f>SUM(O10:O12)</f>
        <v>10889</v>
      </c>
      <c r="P13" s="13">
        <f t="shared" ref="P13:W13" si="1">SUM(P10:P12)</f>
        <v>1</v>
      </c>
      <c r="Q13" s="13">
        <f t="shared" si="1"/>
        <v>6592</v>
      </c>
      <c r="R13" s="13">
        <f t="shared" si="1"/>
        <v>2142</v>
      </c>
      <c r="S13" s="13">
        <f t="shared" si="1"/>
        <v>1934</v>
      </c>
      <c r="T13" s="13">
        <f>SUM(T10:T12)</f>
        <v>19740</v>
      </c>
      <c r="U13" s="13">
        <f t="shared" si="1"/>
        <v>637</v>
      </c>
      <c r="V13" s="13">
        <f t="shared" si="1"/>
        <v>2830</v>
      </c>
      <c r="W13" s="13">
        <f t="shared" si="1"/>
        <v>2925</v>
      </c>
      <c r="X13" s="47"/>
      <c r="Y13" s="49"/>
      <c r="Z13" s="49"/>
      <c r="AA13" s="49"/>
      <c r="AB13" s="49"/>
      <c r="AC13" s="49"/>
    </row>
    <row r="14" spans="1:29" s="3" customFormat="1" ht="23.1" customHeight="1" x14ac:dyDescent="0.25">
      <c r="C14" s="14"/>
      <c r="D14" s="14"/>
      <c r="E14" s="14"/>
      <c r="F14" s="14"/>
      <c r="L14" s="14"/>
      <c r="N14" s="14"/>
      <c r="O14" s="34"/>
      <c r="P14" s="34"/>
      <c r="Q14" s="34"/>
      <c r="R14" s="34"/>
      <c r="S14" s="34"/>
      <c r="T14" s="34"/>
      <c r="U14" s="34"/>
      <c r="V14" s="48">
        <f>V13+W13</f>
        <v>5755</v>
      </c>
      <c r="W14" s="34"/>
      <c r="X14" s="49"/>
      <c r="Y14" s="49"/>
      <c r="Z14" s="49"/>
      <c r="AA14" s="49"/>
      <c r="AB14" s="49"/>
      <c r="AC14" s="49"/>
    </row>
    <row r="15" spans="1:29" s="3" customFormat="1" ht="23.1" customHeight="1" x14ac:dyDescent="0.25">
      <c r="C15" s="14"/>
      <c r="D15" s="14"/>
      <c r="E15" s="14"/>
      <c r="F15" s="14"/>
      <c r="G15" s="16"/>
      <c r="H15" s="15"/>
      <c r="I15" s="16"/>
      <c r="J15" s="67"/>
      <c r="K15" s="68"/>
      <c r="L15" s="15"/>
      <c r="M15" s="15"/>
      <c r="N15" s="16"/>
      <c r="O15" s="35"/>
      <c r="P15" s="35"/>
      <c r="Q15" s="34"/>
      <c r="R15" s="34"/>
      <c r="S15" s="34"/>
      <c r="T15" s="34"/>
      <c r="U15" s="34"/>
      <c r="V15" s="35"/>
      <c r="W15" s="34"/>
      <c r="X15" s="49"/>
      <c r="Y15" s="49"/>
      <c r="Z15" s="49"/>
      <c r="AA15" s="49"/>
      <c r="AB15" s="49"/>
      <c r="AC15" s="49"/>
    </row>
    <row r="16" spans="1:29" s="3" customFormat="1" ht="17.100000000000001" customHeight="1" x14ac:dyDescent="0.25">
      <c r="A16" s="17" t="s">
        <v>19</v>
      </c>
      <c r="B16" s="18"/>
      <c r="C16" s="14"/>
      <c r="D16" s="66"/>
      <c r="E16" s="15"/>
      <c r="F16" s="19"/>
      <c r="G16" s="19"/>
      <c r="H16" s="20"/>
      <c r="I16" s="20"/>
      <c r="J16" s="60"/>
      <c r="K16" s="61"/>
      <c r="L16" s="20"/>
      <c r="M16" s="20"/>
      <c r="N16" s="19"/>
      <c r="O16" s="34"/>
      <c r="P16" s="37"/>
      <c r="Q16" s="37"/>
      <c r="R16" s="63"/>
      <c r="S16" s="37"/>
      <c r="T16" s="37"/>
      <c r="U16" s="37"/>
      <c r="V16" s="37"/>
      <c r="W16" s="48"/>
      <c r="X16" s="49"/>
      <c r="Y16" s="49"/>
      <c r="Z16" s="49"/>
      <c r="AA16" s="49"/>
      <c r="AB16" s="49"/>
      <c r="AC16" s="49"/>
    </row>
    <row r="17" spans="1:29" s="3" customFormat="1" x14ac:dyDescent="0.2">
      <c r="A17" s="21" t="s">
        <v>20</v>
      </c>
      <c r="B17" s="18"/>
      <c r="C17" s="14"/>
      <c r="D17" s="14"/>
      <c r="E17" s="15"/>
      <c r="F17" s="19"/>
      <c r="G17" s="19"/>
      <c r="H17" s="20"/>
      <c r="I17" s="19"/>
      <c r="J17" s="36"/>
      <c r="K17" s="58"/>
      <c r="L17" s="19"/>
      <c r="M17" s="20"/>
      <c r="N17" s="20"/>
      <c r="O17" s="34"/>
      <c r="P17" s="37"/>
      <c r="Q17" s="37"/>
      <c r="R17" s="63"/>
      <c r="S17" s="37"/>
      <c r="T17" s="37"/>
      <c r="U17" s="37"/>
      <c r="V17" s="37"/>
      <c r="W17" s="48"/>
      <c r="X17" s="49"/>
      <c r="Y17" s="27"/>
      <c r="Z17" s="49"/>
      <c r="AA17" s="49"/>
      <c r="AB17" s="49"/>
      <c r="AC17" s="49"/>
    </row>
    <row r="18" spans="1:29" s="3" customFormat="1" ht="15" x14ac:dyDescent="0.2">
      <c r="A18" s="21" t="s">
        <v>21</v>
      </c>
      <c r="B18" s="18"/>
      <c r="C18" s="14"/>
      <c r="D18" s="14"/>
      <c r="E18" s="15"/>
      <c r="F18" s="22"/>
      <c r="G18" s="20"/>
      <c r="H18" s="20"/>
      <c r="I18" s="20"/>
      <c r="K18" s="62"/>
      <c r="L18" s="59"/>
      <c r="M18" s="20"/>
      <c r="N18" s="20"/>
      <c r="O18" s="38"/>
      <c r="P18" s="37"/>
      <c r="Q18" s="37"/>
      <c r="R18" s="63"/>
      <c r="S18" s="37"/>
      <c r="T18" s="37"/>
      <c r="U18" s="37"/>
      <c r="V18" s="37"/>
      <c r="W18" s="48"/>
      <c r="X18" s="49"/>
      <c r="Y18" s="27"/>
      <c r="Z18" s="49"/>
      <c r="AA18" s="49"/>
      <c r="AB18" s="49"/>
      <c r="AC18" s="49"/>
    </row>
    <row r="19" spans="1:29" s="3" customFormat="1" x14ac:dyDescent="0.2">
      <c r="A19" s="21" t="s">
        <v>22</v>
      </c>
      <c r="B19" s="18"/>
      <c r="D19" s="14"/>
      <c r="E19" s="15"/>
      <c r="F19" s="19"/>
      <c r="G19" s="19"/>
      <c r="H19" s="19"/>
      <c r="I19" s="20"/>
      <c r="J19" s="36"/>
      <c r="K19" s="36"/>
      <c r="L19" s="19"/>
      <c r="M19" s="20"/>
      <c r="N19" s="20"/>
      <c r="O19" s="34"/>
      <c r="P19" s="34"/>
      <c r="Q19" s="34"/>
      <c r="R19" s="34"/>
      <c r="S19" s="34"/>
      <c r="T19" s="34"/>
      <c r="U19" s="34"/>
      <c r="V19" s="34"/>
      <c r="W19" s="34"/>
      <c r="X19" s="49"/>
      <c r="Y19" s="5"/>
      <c r="Z19" s="49"/>
      <c r="AA19" s="49"/>
      <c r="AB19" s="49"/>
      <c r="AC19" s="49"/>
    </row>
    <row r="20" spans="1:29" x14ac:dyDescent="0.2">
      <c r="A20" s="21" t="s">
        <v>23</v>
      </c>
      <c r="B20" s="18"/>
      <c r="E20" s="23"/>
      <c r="F20" s="24"/>
      <c r="G20" s="25"/>
      <c r="H20" s="19"/>
      <c r="I20" s="24"/>
      <c r="J20" s="39"/>
      <c r="K20" s="25"/>
      <c r="L20" s="25"/>
      <c r="M20" s="24"/>
      <c r="N20" s="25"/>
      <c r="P20" s="24"/>
      <c r="Q20" s="24"/>
      <c r="R20" s="63"/>
      <c r="S20" s="24"/>
      <c r="T20" s="24"/>
      <c r="U20" s="24"/>
      <c r="V20" s="24"/>
      <c r="W20" s="5"/>
      <c r="AB20" s="52"/>
      <c r="AC20" s="52"/>
    </row>
    <row r="21" spans="1:29" x14ac:dyDescent="0.2">
      <c r="A21" s="53" t="s">
        <v>24</v>
      </c>
      <c r="B21" s="18"/>
      <c r="E21" s="23"/>
      <c r="F21" s="25"/>
      <c r="G21" s="24"/>
      <c r="H21" s="25"/>
      <c r="I21" s="24"/>
      <c r="J21" s="24"/>
      <c r="K21" s="24"/>
      <c r="L21" s="24"/>
      <c r="M21" s="24"/>
      <c r="N21" s="24"/>
      <c r="O21" s="39"/>
      <c r="P21" s="24"/>
      <c r="Q21" s="25"/>
      <c r="R21" s="63"/>
      <c r="S21" s="25"/>
      <c r="T21" s="24"/>
      <c r="U21" s="24"/>
      <c r="V21" s="24"/>
      <c r="W21" s="5"/>
      <c r="Y21" s="32"/>
    </row>
    <row r="22" spans="1:29" ht="15" x14ac:dyDescent="0.2">
      <c r="A22" s="53" t="s">
        <v>25</v>
      </c>
      <c r="B22" s="18"/>
      <c r="E22" s="23"/>
      <c r="F22" s="24"/>
      <c r="G22" s="24"/>
      <c r="H22" s="24"/>
      <c r="I22" s="25"/>
      <c r="J22" s="40"/>
      <c r="K22" s="41"/>
      <c r="L22" s="24"/>
      <c r="M22" s="24"/>
      <c r="N22" s="24"/>
      <c r="P22" s="24"/>
      <c r="Q22" s="24"/>
      <c r="R22" s="56"/>
      <c r="S22" s="24"/>
      <c r="T22" s="24"/>
      <c r="U22" s="24"/>
      <c r="V22" s="25"/>
      <c r="W22" s="5"/>
    </row>
    <row r="23" spans="1:29" x14ac:dyDescent="0.2">
      <c r="A23" s="53" t="s">
        <v>26</v>
      </c>
      <c r="B23" s="18"/>
      <c r="E23" s="23"/>
      <c r="F23" s="24"/>
      <c r="G23" s="24"/>
      <c r="H23" s="24"/>
      <c r="I23" s="24"/>
      <c r="J23" s="24"/>
      <c r="K23" s="42"/>
      <c r="L23" s="24"/>
      <c r="M23" s="25"/>
      <c r="N23" s="24"/>
      <c r="O23" s="39"/>
      <c r="P23" s="24"/>
      <c r="Q23" s="24"/>
      <c r="R23" s="63"/>
      <c r="S23" s="25"/>
      <c r="T23" s="24"/>
      <c r="U23" s="24"/>
      <c r="V23" s="24"/>
      <c r="W23" s="5"/>
    </row>
    <row r="24" spans="1:29" x14ac:dyDescent="0.2">
      <c r="A24" s="53" t="s">
        <v>27</v>
      </c>
      <c r="B24" s="18"/>
      <c r="E24" s="23"/>
      <c r="F24" s="24"/>
      <c r="G24" s="24"/>
      <c r="H24" s="25"/>
      <c r="I24" s="24"/>
      <c r="J24" s="41"/>
      <c r="K24" s="69"/>
      <c r="L24" s="24"/>
      <c r="M24" s="24"/>
      <c r="N24" s="24"/>
      <c r="P24" s="24"/>
      <c r="Q24" s="24"/>
      <c r="R24" s="63"/>
      <c r="S24" s="24"/>
      <c r="T24" s="24"/>
      <c r="U24" s="24"/>
      <c r="V24" s="24"/>
      <c r="W24" s="5"/>
    </row>
    <row r="25" spans="1:29" ht="15" x14ac:dyDescent="0.2">
      <c r="A25" s="53" t="s">
        <v>28</v>
      </c>
      <c r="B25" s="18"/>
      <c r="E25" s="23"/>
      <c r="F25" s="25"/>
      <c r="G25" s="24"/>
      <c r="H25" s="24"/>
      <c r="I25" s="24"/>
      <c r="J25" s="24"/>
      <c r="K25" s="24"/>
      <c r="L25" s="43"/>
      <c r="M25" s="42"/>
      <c r="N25" s="70"/>
      <c r="O25" s="29"/>
      <c r="P25" s="24"/>
      <c r="Q25" s="24"/>
      <c r="R25" s="57"/>
      <c r="S25" s="24"/>
      <c r="T25" s="24"/>
      <c r="U25" s="24"/>
      <c r="V25" s="24"/>
      <c r="W25" s="5"/>
    </row>
    <row r="26" spans="1:29" ht="15" x14ac:dyDescent="0.2">
      <c r="E26" s="26"/>
      <c r="F26" s="25"/>
      <c r="G26" s="24"/>
      <c r="H26" s="24"/>
      <c r="I26" s="24"/>
      <c r="J26" s="24"/>
      <c r="K26" s="24"/>
      <c r="L26" s="43"/>
      <c r="M26" s="42"/>
      <c r="N26" s="70"/>
      <c r="O26" s="24"/>
      <c r="P26" s="24"/>
      <c r="Q26" s="24"/>
      <c r="R26" s="50"/>
      <c r="S26" s="24"/>
      <c r="T26" s="24"/>
      <c r="U26" s="24"/>
      <c r="V26" s="24"/>
      <c r="W26" s="5"/>
    </row>
    <row r="27" spans="1:29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43"/>
      <c r="M27" s="41"/>
      <c r="N27" s="24"/>
      <c r="O27" s="24"/>
      <c r="P27" s="24"/>
      <c r="Q27" s="24"/>
      <c r="R27" s="51"/>
      <c r="S27" s="24"/>
      <c r="T27" s="24"/>
      <c r="U27" s="24"/>
      <c r="V27" s="24"/>
      <c r="W27" s="5"/>
    </row>
    <row r="28" spans="1:29" x14ac:dyDescent="0.2">
      <c r="A28" s="5"/>
      <c r="B28" s="80" t="s">
        <v>42</v>
      </c>
      <c r="C28" s="80"/>
      <c r="D28" s="80"/>
      <c r="E28" s="80"/>
      <c r="F28" s="24"/>
      <c r="G28" s="25"/>
      <c r="H28" s="24"/>
      <c r="I28" s="24"/>
      <c r="J28" s="24"/>
      <c r="K28" s="24"/>
      <c r="L28" s="43"/>
      <c r="M28" s="24"/>
      <c r="N28" s="70"/>
      <c r="O28" s="41"/>
      <c r="P28" s="24"/>
      <c r="Q28" s="24"/>
      <c r="R28" s="51"/>
      <c r="S28" s="24"/>
      <c r="T28" s="24"/>
      <c r="U28" s="24"/>
      <c r="V28" s="24"/>
      <c r="W28" s="5"/>
    </row>
    <row r="29" spans="1:29" x14ac:dyDescent="0.2">
      <c r="A29" s="5"/>
      <c r="B29" s="5"/>
      <c r="C29" s="28"/>
      <c r="D29" s="26"/>
      <c r="E29" s="5"/>
      <c r="F29" s="29"/>
      <c r="G29" s="24"/>
      <c r="H29" s="24"/>
      <c r="I29" s="24"/>
      <c r="J29" s="24"/>
      <c r="K29" s="24"/>
      <c r="L29" s="43"/>
      <c r="M29" s="42"/>
      <c r="N29" s="70"/>
      <c r="O29" s="24"/>
      <c r="P29" s="24"/>
      <c r="Q29" s="24"/>
      <c r="R29" s="24"/>
      <c r="S29" s="24"/>
      <c r="T29" s="24"/>
      <c r="U29" s="24"/>
      <c r="V29" s="24"/>
      <c r="W29" s="5"/>
    </row>
    <row r="30" spans="1:29" x14ac:dyDescent="0.2">
      <c r="A30" s="5"/>
      <c r="B30" s="5" t="s">
        <v>30</v>
      </c>
      <c r="C30" s="27"/>
      <c r="D30" s="30"/>
      <c r="E30" s="5"/>
      <c r="F30" s="5"/>
      <c r="G30" s="24"/>
      <c r="H30" s="54"/>
      <c r="I30" s="71"/>
      <c r="J30" s="72"/>
      <c r="K30" s="72"/>
      <c r="L30" s="72"/>
      <c r="M30" s="24"/>
      <c r="N30" s="24"/>
      <c r="O30" s="24"/>
      <c r="P30" s="24"/>
      <c r="Q30" s="24"/>
      <c r="R30" s="24"/>
      <c r="S30" s="25"/>
      <c r="T30" s="24"/>
      <c r="U30" s="24"/>
      <c r="V30" s="24"/>
      <c r="W30" s="5"/>
    </row>
    <row r="31" spans="1:29" x14ac:dyDescent="0.2">
      <c r="A31" s="5"/>
      <c r="B31" s="5" t="s">
        <v>29</v>
      </c>
      <c r="C31" s="27"/>
      <c r="D31" s="28"/>
      <c r="F31" s="5"/>
      <c r="G31" s="24"/>
      <c r="H31" s="24"/>
      <c r="I31" s="72"/>
      <c r="J31" s="72"/>
      <c r="K31" s="72"/>
      <c r="L31" s="72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5"/>
    </row>
    <row r="32" spans="1:29" x14ac:dyDescent="0.2">
      <c r="A32" s="5"/>
      <c r="B32" s="5"/>
      <c r="C32" s="28"/>
      <c r="D32" s="5"/>
      <c r="F32" s="5"/>
      <c r="G32" s="24"/>
      <c r="H32" s="29"/>
      <c r="I32" s="72"/>
      <c r="J32" s="72"/>
      <c r="K32" s="72"/>
      <c r="L32" s="72"/>
      <c r="M32" s="24"/>
      <c r="N32" s="24"/>
      <c r="O32" s="24"/>
      <c r="P32" s="24"/>
      <c r="Q32" s="24"/>
      <c r="R32" s="24"/>
      <c r="S32" s="25"/>
      <c r="T32" s="24"/>
      <c r="U32" s="24"/>
      <c r="V32" s="24"/>
      <c r="W32" s="5"/>
    </row>
    <row r="33" spans="1:23" x14ac:dyDescent="0.2">
      <c r="A33" s="5"/>
      <c r="B33" s="5"/>
      <c r="C33" s="5"/>
      <c r="D33" s="27"/>
      <c r="F33" s="5"/>
      <c r="G33" s="24"/>
      <c r="H33" s="24"/>
      <c r="I33" s="72"/>
      <c r="J33" s="72"/>
      <c r="K33" s="72"/>
      <c r="L33" s="72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5"/>
    </row>
    <row r="34" spans="1:23" x14ac:dyDescent="0.2">
      <c r="A34" s="5"/>
      <c r="B34" s="5"/>
      <c r="C34" s="27"/>
      <c r="D34" s="28"/>
      <c r="E34" s="5"/>
      <c r="F34" s="5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5"/>
    </row>
    <row r="35" spans="1:23" x14ac:dyDescent="0.2">
      <c r="A35" s="5"/>
      <c r="B35" s="5"/>
      <c r="C35" s="28"/>
      <c r="D35" s="27"/>
      <c r="E35" s="5"/>
      <c r="F35" s="5"/>
      <c r="G35" s="24"/>
      <c r="H35" s="54"/>
      <c r="I35" s="24"/>
      <c r="J35" s="73"/>
      <c r="K35" s="74"/>
      <c r="L35" s="7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5"/>
    </row>
    <row r="36" spans="1:23" x14ac:dyDescent="0.2">
      <c r="A36" s="5"/>
      <c r="B36" s="5"/>
      <c r="C36" s="27"/>
      <c r="D36" s="27"/>
      <c r="E36" s="5"/>
      <c r="F36" s="5"/>
      <c r="G36" s="24"/>
      <c r="H36" s="24"/>
      <c r="I36" s="24"/>
      <c r="J36" s="74"/>
      <c r="K36" s="74"/>
      <c r="L36" s="7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5"/>
    </row>
    <row r="37" spans="1:23" x14ac:dyDescent="0.2">
      <c r="A37" s="5"/>
      <c r="B37" s="5"/>
      <c r="C37" s="27"/>
      <c r="D37" s="27"/>
      <c r="E37" s="5"/>
      <c r="F37" s="5"/>
      <c r="G37" s="24"/>
      <c r="H37" s="24"/>
      <c r="I37" s="24"/>
      <c r="J37" s="74"/>
      <c r="K37" s="74"/>
      <c r="L37" s="7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5"/>
    </row>
    <row r="38" spans="1:23" x14ac:dyDescent="0.2">
      <c r="A38" s="5"/>
      <c r="B38" s="5"/>
      <c r="C38" s="27"/>
      <c r="D38" s="28"/>
      <c r="E38" s="5"/>
      <c r="F38" s="5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3" x14ac:dyDescent="0.2">
      <c r="A39" s="5"/>
      <c r="B39" s="5"/>
      <c r="C39" s="28"/>
      <c r="D39" s="27"/>
      <c r="E39" s="5"/>
      <c r="F39" s="5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3" x14ac:dyDescent="0.2">
      <c r="A40" s="5"/>
      <c r="B40" s="5"/>
      <c r="C40" s="27"/>
      <c r="D40" s="27"/>
      <c r="E40" s="5"/>
      <c r="F40" s="5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24"/>
      <c r="U40" s="24"/>
      <c r="V40" s="24"/>
    </row>
    <row r="41" spans="1:23" x14ac:dyDescent="0.2">
      <c r="A41" s="5"/>
      <c r="B41" s="5"/>
      <c r="C41" s="27"/>
      <c r="D41" s="27"/>
      <c r="E41" s="5"/>
      <c r="F41" s="5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3" x14ac:dyDescent="0.2">
      <c r="A42" s="5"/>
      <c r="B42" s="5"/>
      <c r="C42" s="27"/>
      <c r="D42" s="55"/>
      <c r="E42" s="5"/>
      <c r="F42" s="5"/>
      <c r="G42" s="24"/>
      <c r="H42" s="54"/>
      <c r="I42" s="71"/>
      <c r="J42" s="72"/>
      <c r="K42" s="72"/>
      <c r="L42" s="72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3" x14ac:dyDescent="0.2">
      <c r="A43" s="5"/>
      <c r="B43" s="5"/>
      <c r="C43" s="27"/>
      <c r="D43" s="27"/>
      <c r="E43" s="5"/>
      <c r="F43" s="5"/>
      <c r="G43" s="5"/>
      <c r="H43" s="5"/>
      <c r="I43" s="72"/>
      <c r="J43" s="72"/>
      <c r="K43" s="72"/>
      <c r="L43" s="72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3" x14ac:dyDescent="0.2">
      <c r="A44" s="5"/>
      <c r="B44" s="5"/>
      <c r="C44" s="27"/>
      <c r="D44" s="27"/>
      <c r="E44" s="5"/>
      <c r="F44" s="5"/>
      <c r="G44" s="5"/>
      <c r="H44" s="5"/>
      <c r="I44" s="72"/>
      <c r="J44" s="72"/>
      <c r="K44" s="72"/>
      <c r="L44" s="72"/>
      <c r="M44" s="5"/>
      <c r="N44" s="5"/>
      <c r="O44" s="5"/>
      <c r="P44" s="24"/>
      <c r="Q44" s="24"/>
      <c r="R44" s="24"/>
      <c r="S44" s="24"/>
      <c r="T44" s="24"/>
      <c r="U44" s="24"/>
      <c r="V44" s="24"/>
    </row>
    <row r="45" spans="1:23" x14ac:dyDescent="0.2">
      <c r="A45" s="5"/>
      <c r="B45" s="5"/>
      <c r="C45" s="27"/>
      <c r="D45" s="28"/>
      <c r="E45" s="5"/>
      <c r="F45" s="5"/>
      <c r="G45" s="5"/>
      <c r="H45" s="5"/>
      <c r="I45" s="72"/>
      <c r="J45" s="72"/>
      <c r="K45" s="72"/>
      <c r="L45" s="72"/>
      <c r="M45" s="5"/>
      <c r="N45" s="5"/>
      <c r="O45" s="5"/>
      <c r="P45" s="24"/>
      <c r="Q45" s="24"/>
      <c r="R45" s="24"/>
      <c r="S45" s="24"/>
      <c r="T45" s="24"/>
      <c r="U45" s="24"/>
      <c r="V45" s="24"/>
    </row>
    <row r="46" spans="1:23" x14ac:dyDescent="0.2">
      <c r="A46" s="5"/>
      <c r="B46" s="5"/>
      <c r="C46" s="28"/>
      <c r="D46" s="27"/>
      <c r="E46" s="5"/>
      <c r="F46" s="5"/>
      <c r="G46" s="5"/>
      <c r="H46" s="5"/>
      <c r="I46" s="5"/>
      <c r="J46" s="5"/>
      <c r="K46" s="5"/>
      <c r="L46" s="24"/>
      <c r="M46" s="5"/>
      <c r="N46" s="5"/>
      <c r="O46" s="5"/>
      <c r="P46" s="24"/>
      <c r="Q46" s="24"/>
      <c r="R46" s="24"/>
      <c r="S46" s="24"/>
      <c r="T46" s="24"/>
      <c r="U46" s="24"/>
      <c r="V46" s="24"/>
    </row>
    <row r="47" spans="1:23" x14ac:dyDescent="0.2">
      <c r="A47" s="5"/>
      <c r="B47" s="27">
        <v>31450000</v>
      </c>
      <c r="C47" s="27"/>
      <c r="D47" s="27"/>
      <c r="E47" s="5"/>
      <c r="F47" s="5"/>
      <c r="G47" s="5"/>
      <c r="H47" s="5"/>
      <c r="I47" s="71"/>
      <c r="J47" s="72"/>
      <c r="K47" s="72"/>
      <c r="L47" s="72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3" x14ac:dyDescent="0.2">
      <c r="A48" s="5"/>
      <c r="B48" s="27">
        <f>10%*B47</f>
        <v>3145000</v>
      </c>
      <c r="C48" s="27"/>
      <c r="D48" s="31"/>
      <c r="E48" s="5"/>
      <c r="F48" s="5"/>
      <c r="G48" s="5"/>
      <c r="H48" s="54"/>
      <c r="I48" s="72"/>
      <c r="J48" s="72"/>
      <c r="K48" s="72"/>
      <c r="L48" s="72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x14ac:dyDescent="0.2">
      <c r="A49" s="5"/>
      <c r="B49" s="32">
        <f>SUM(B47:B48)</f>
        <v>34595000</v>
      </c>
      <c r="C49" s="31"/>
      <c r="D49" s="5"/>
      <c r="E49" s="5"/>
      <c r="F49" s="5"/>
      <c r="G49" s="5"/>
      <c r="H49" s="5"/>
      <c r="I49" s="72"/>
      <c r="J49" s="72"/>
      <c r="K49" s="72"/>
      <c r="L49" s="72"/>
      <c r="M49" s="5"/>
      <c r="N49" s="5"/>
      <c r="O49" s="24"/>
      <c r="P49" s="24"/>
      <c r="Q49" s="24"/>
      <c r="R49" s="24"/>
      <c r="S49" s="24"/>
      <c r="T49" s="24"/>
      <c r="U49" s="24"/>
      <c r="V49" s="24"/>
    </row>
    <row r="50" spans="1:22" x14ac:dyDescent="0.2">
      <c r="A50" s="5"/>
      <c r="B50" s="5"/>
      <c r="C50" s="5"/>
      <c r="D50" s="27"/>
      <c r="E50" s="5"/>
      <c r="F50" s="5"/>
      <c r="G50" s="5"/>
      <c r="H50" s="5"/>
      <c r="I50" s="72"/>
      <c r="J50" s="72"/>
      <c r="K50" s="72"/>
      <c r="L50" s="72"/>
      <c r="M50" s="5"/>
      <c r="N50" s="5"/>
      <c r="O50" s="24"/>
      <c r="P50" s="24"/>
      <c r="Q50" s="24"/>
      <c r="R50" s="24"/>
      <c r="S50" s="24"/>
      <c r="T50" s="24"/>
      <c r="U50" s="24"/>
      <c r="V50" s="24"/>
    </row>
    <row r="51" spans="1:22" x14ac:dyDescent="0.2">
      <c r="A51" s="5"/>
      <c r="B51" s="5"/>
      <c r="C51" s="27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24"/>
      <c r="P51" s="24"/>
      <c r="Q51" s="24"/>
      <c r="R51" s="24"/>
      <c r="S51" s="24"/>
      <c r="T51" s="24"/>
      <c r="U51" s="24"/>
      <c r="V51" s="24"/>
    </row>
    <row r="52" spans="1:22" x14ac:dyDescent="0.2">
      <c r="A52" s="5"/>
      <c r="B52" s="5"/>
      <c r="C52" s="28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24"/>
      <c r="P52" s="24"/>
    </row>
    <row r="53" spans="1:22" x14ac:dyDescent="0.2">
      <c r="A53" s="5"/>
      <c r="B53" s="5"/>
      <c r="C53" s="27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24"/>
      <c r="P53" s="24"/>
    </row>
    <row r="54" spans="1:22" x14ac:dyDescent="0.2">
      <c r="A54" s="5"/>
      <c r="B54" s="5"/>
      <c r="C54" s="27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24"/>
      <c r="P54" s="24"/>
    </row>
    <row r="55" spans="1:22" x14ac:dyDescent="0.2">
      <c r="A55" s="5"/>
      <c r="B55" s="5"/>
      <c r="C55" s="28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24"/>
      <c r="P55" s="24"/>
    </row>
    <row r="56" spans="1:22" x14ac:dyDescent="0.2">
      <c r="A56" s="5"/>
      <c r="B56" s="5"/>
      <c r="C56" s="27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24"/>
      <c r="P56" s="24"/>
    </row>
    <row r="57" spans="1:22" x14ac:dyDescent="0.2">
      <c r="A57" s="5"/>
      <c r="B57" s="5"/>
      <c r="C57" s="27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24"/>
      <c r="P57" s="24"/>
    </row>
    <row r="58" spans="1:22" x14ac:dyDescent="0.2">
      <c r="A58" s="5"/>
      <c r="B58" s="5"/>
      <c r="C58" s="27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24"/>
      <c r="P58" s="24"/>
    </row>
    <row r="59" spans="1:22" x14ac:dyDescent="0.2">
      <c r="A59" s="5"/>
      <c r="B59" s="5"/>
      <c r="C59" s="27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24"/>
      <c r="P59" s="24"/>
    </row>
    <row r="60" spans="1:22" x14ac:dyDescent="0.2">
      <c r="A60" s="5"/>
      <c r="B60" s="5"/>
      <c r="C60" s="27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24"/>
      <c r="P60" s="24"/>
    </row>
    <row r="61" spans="1:22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24"/>
      <c r="P61" s="24"/>
    </row>
    <row r="62" spans="1:22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24"/>
      <c r="P62" s="24"/>
    </row>
    <row r="63" spans="1:22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24"/>
      <c r="P63" s="24"/>
    </row>
    <row r="64" spans="1:22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</row>
    <row r="65" spans="1:16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</row>
    <row r="66" spans="1:16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</row>
    <row r="67" spans="1:16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</row>
    <row r="68" spans="1:16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</row>
    <row r="69" spans="1:16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</row>
    <row r="70" spans="1:16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</row>
    <row r="71" spans="1:16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</row>
    <row r="72" spans="1:16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</row>
    <row r="73" spans="1:16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 spans="1:16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</row>
    <row r="75" spans="1:16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</row>
    <row r="79" spans="1:16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</row>
    <row r="81" spans="1:16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</row>
    <row r="82" spans="1:16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</row>
    <row r="83" spans="1:16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</row>
    <row r="84" spans="1:16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</row>
  </sheetData>
  <mergeCells count="24">
    <mergeCell ref="A1:W1"/>
    <mergeCell ref="A2:W2"/>
    <mergeCell ref="A3:W3"/>
    <mergeCell ref="A4:W4"/>
    <mergeCell ref="A7:A8"/>
    <mergeCell ref="B7:B8"/>
    <mergeCell ref="C7:C8"/>
    <mergeCell ref="D7:D8"/>
    <mergeCell ref="E7:E8"/>
    <mergeCell ref="F7:F8"/>
    <mergeCell ref="I47:L50"/>
    <mergeCell ref="G7:I7"/>
    <mergeCell ref="L7:N7"/>
    <mergeCell ref="O7:W7"/>
    <mergeCell ref="C9:F9"/>
    <mergeCell ref="G9:I9"/>
    <mergeCell ref="L9:N9"/>
    <mergeCell ref="O9:W9"/>
    <mergeCell ref="B28:E28"/>
    <mergeCell ref="N25:N26"/>
    <mergeCell ref="N28:N29"/>
    <mergeCell ref="I30:L33"/>
    <mergeCell ref="J35:L37"/>
    <mergeCell ref="I42:L45"/>
  </mergeCells>
  <pageMargins left="0.70866141732283505" right="0.70866141732283505" top="0.74803149606299202" bottom="0.74803149606299202" header="0.31496062992126" footer="0.31496062992126"/>
  <pageSetup paperSize="9" scale="4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4"/>
  <sheetViews>
    <sheetView view="pageBreakPreview" topLeftCell="A10" zoomScale="70" zoomScaleNormal="100" zoomScaleSheetLayoutView="70" zoomScalePageLayoutView="70" workbookViewId="0">
      <selection activeCell="F39" sqref="F39"/>
    </sheetView>
  </sheetViews>
  <sheetFormatPr defaultColWidth="9.140625" defaultRowHeight="14.25" x14ac:dyDescent="0.2"/>
  <cols>
    <col min="1" max="1" width="4.7109375" style="4" customWidth="1"/>
    <col min="2" max="2" width="20.42578125" style="4" customWidth="1"/>
    <col min="3" max="4" width="10.7109375" style="4" customWidth="1"/>
    <col min="5" max="5" width="10.5703125" style="4" customWidth="1"/>
    <col min="6" max="6" width="13.7109375" style="4" customWidth="1"/>
    <col min="7" max="7" width="9.42578125" style="4" customWidth="1"/>
    <col min="8" max="8" width="13.85546875" style="4" customWidth="1"/>
    <col min="9" max="9" width="11.7109375" style="4" customWidth="1"/>
    <col min="10" max="10" width="25.85546875" style="4" customWidth="1"/>
    <col min="11" max="11" width="27.7109375" style="4" customWidth="1"/>
    <col min="12" max="12" width="9.85546875" style="4" customWidth="1"/>
    <col min="13" max="13" width="11.42578125" style="4" customWidth="1"/>
    <col min="14" max="14" width="10.85546875" style="4" customWidth="1"/>
    <col min="15" max="18" width="9.140625" style="4"/>
    <col min="19" max="19" width="10.42578125" style="4" customWidth="1"/>
    <col min="20" max="20" width="12.42578125" style="4" customWidth="1"/>
    <col min="21" max="23" width="9.140625" style="4"/>
    <col min="24" max="24" width="9.140625" style="5" customWidth="1"/>
    <col min="25" max="25" width="9.140625" style="5"/>
    <col min="26" max="26" width="13.7109375" style="5" customWidth="1"/>
    <col min="27" max="29" width="9.140625" style="5"/>
    <col min="30" max="16384" width="9.140625" style="4"/>
  </cols>
  <sheetData>
    <row r="1" spans="1:29" ht="18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</row>
    <row r="2" spans="1:29" ht="18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</row>
    <row r="3" spans="1:29" ht="18" x14ac:dyDescent="0.25">
      <c r="A3" s="77" t="s">
        <v>36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</row>
    <row r="4" spans="1:29" ht="18" x14ac:dyDescent="0.25">
      <c r="A4" s="77" t="s">
        <v>39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</row>
    <row r="7" spans="1:29" s="1" customFormat="1" ht="37.5" customHeight="1" x14ac:dyDescent="0.25">
      <c r="A7" s="75" t="s">
        <v>2</v>
      </c>
      <c r="B7" s="75" t="s">
        <v>3</v>
      </c>
      <c r="C7" s="78" t="s">
        <v>4</v>
      </c>
      <c r="D7" s="78" t="s">
        <v>5</v>
      </c>
      <c r="E7" s="78" t="s">
        <v>6</v>
      </c>
      <c r="F7" s="78" t="s">
        <v>7</v>
      </c>
      <c r="G7" s="75" t="s">
        <v>8</v>
      </c>
      <c r="H7" s="75"/>
      <c r="I7" s="75"/>
      <c r="J7" s="6" t="s">
        <v>9</v>
      </c>
      <c r="K7" s="6" t="s">
        <v>10</v>
      </c>
      <c r="L7" s="75" t="s">
        <v>11</v>
      </c>
      <c r="M7" s="75"/>
      <c r="N7" s="75"/>
      <c r="O7" s="75" t="s">
        <v>12</v>
      </c>
      <c r="P7" s="75"/>
      <c r="Q7" s="75"/>
      <c r="R7" s="75"/>
      <c r="S7" s="75"/>
      <c r="T7" s="75"/>
      <c r="U7" s="75"/>
      <c r="V7" s="75"/>
      <c r="W7" s="75"/>
      <c r="X7" s="45"/>
      <c r="Y7" s="45"/>
      <c r="Z7" s="45"/>
      <c r="AA7" s="45"/>
      <c r="AB7" s="45"/>
      <c r="AC7" s="45"/>
    </row>
    <row r="8" spans="1:29" ht="24.75" customHeight="1" x14ac:dyDescent="0.2">
      <c r="A8" s="75"/>
      <c r="B8" s="75"/>
      <c r="C8" s="78"/>
      <c r="D8" s="78"/>
      <c r="E8" s="78"/>
      <c r="F8" s="78"/>
      <c r="G8" s="7" t="s">
        <v>13</v>
      </c>
      <c r="H8" s="7" t="s">
        <v>14</v>
      </c>
      <c r="I8" s="7" t="s">
        <v>15</v>
      </c>
      <c r="J8" s="7" t="s">
        <v>16</v>
      </c>
      <c r="K8" s="7" t="s">
        <v>16</v>
      </c>
      <c r="L8" s="7" t="s">
        <v>13</v>
      </c>
      <c r="M8" s="7" t="s">
        <v>14</v>
      </c>
      <c r="N8" s="7" t="s">
        <v>15</v>
      </c>
      <c r="O8" s="7">
        <v>1</v>
      </c>
      <c r="P8" s="7">
        <v>2</v>
      </c>
      <c r="Q8" s="7">
        <v>3</v>
      </c>
      <c r="R8" s="7">
        <v>4</v>
      </c>
      <c r="S8" s="7">
        <v>5</v>
      </c>
      <c r="T8" s="7">
        <v>6</v>
      </c>
      <c r="U8" s="7">
        <v>7</v>
      </c>
      <c r="V8" s="7">
        <v>8</v>
      </c>
      <c r="W8" s="7">
        <v>9</v>
      </c>
    </row>
    <row r="9" spans="1:29" s="2" customFormat="1" x14ac:dyDescent="0.2">
      <c r="A9" s="8">
        <v>1</v>
      </c>
      <c r="B9" s="8">
        <v>2</v>
      </c>
      <c r="C9" s="76">
        <v>3</v>
      </c>
      <c r="D9" s="76"/>
      <c r="E9" s="76"/>
      <c r="F9" s="76"/>
      <c r="G9" s="76">
        <v>4</v>
      </c>
      <c r="H9" s="76"/>
      <c r="I9" s="76"/>
      <c r="J9" s="8">
        <v>5</v>
      </c>
      <c r="K9" s="8">
        <v>6</v>
      </c>
      <c r="L9" s="76">
        <v>7</v>
      </c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46"/>
      <c r="Y9" s="46"/>
      <c r="Z9" s="46"/>
      <c r="AA9" s="46"/>
      <c r="AB9" s="46"/>
      <c r="AC9" s="46"/>
    </row>
    <row r="10" spans="1:29" s="3" customFormat="1" ht="36.75" customHeight="1" x14ac:dyDescent="0.25">
      <c r="A10" s="7" t="s">
        <v>17</v>
      </c>
      <c r="B10" s="9" t="s">
        <v>18</v>
      </c>
      <c r="C10" s="10">
        <f>D10+E11+F12</f>
        <v>47690</v>
      </c>
      <c r="D10" s="10">
        <f>38288+4813-4321+1533+1477</f>
        <v>41790</v>
      </c>
      <c r="E10" s="11"/>
      <c r="F10" s="11"/>
      <c r="G10" s="11">
        <f>20167+67+1220+190+11849+183+139</f>
        <v>33815</v>
      </c>
      <c r="H10" s="10">
        <f>34528+289+1928+248+11847+750+738</f>
        <v>50328</v>
      </c>
      <c r="I10" s="11">
        <f>G10+H10</f>
        <v>84143</v>
      </c>
      <c r="J10" s="11">
        <f>128605412000+96090600+115257102896+32900000001+523225000+384286005858+59370000000</f>
        <v>721037836355</v>
      </c>
      <c r="K10" s="11">
        <f>847281765200+96090600+980000000+115257102896+5000000000+5000000000+294355099540+100000000000+200000000+200000000</f>
        <v>1368370058236</v>
      </c>
      <c r="L10" s="11">
        <f>13384-359+925+482+2018+53+2813+783+2121</f>
        <v>22220</v>
      </c>
      <c r="M10" s="11">
        <f>15506-359+236+1928+74+2235+100+2018+47+2000-4321+750+2112</f>
        <v>22326</v>
      </c>
      <c r="N10" s="11">
        <f>L10+M10</f>
        <v>44546</v>
      </c>
      <c r="O10" s="10">
        <f>8620+36+49+196+326+10+159+12+23+157</f>
        <v>9588</v>
      </c>
      <c r="P10" s="10">
        <v>0</v>
      </c>
      <c r="Q10" s="10">
        <f>1479+51+260+1000+35+50+469+7+577+876+750+478</f>
        <v>6032</v>
      </c>
      <c r="R10" s="10">
        <f>441+12+234+387+831+33</f>
        <v>1938</v>
      </c>
      <c r="S10" s="10">
        <f>440+26+526+241+57+59+218</f>
        <v>1567</v>
      </c>
      <c r="T10" s="10">
        <f>11768+527+328+755+903+2864-3776+2963+2306+127+246+65+200+608+226+526-4321+500+420+222</f>
        <v>17457</v>
      </c>
      <c r="U10" s="10">
        <f>281+9+45+24+113</f>
        <v>472</v>
      </c>
      <c r="V10" s="10">
        <f>691+9+3+7+13+9+2+120+1300</f>
        <v>2154</v>
      </c>
      <c r="W10" s="10">
        <f>1054+19+656+59+311+283+200</f>
        <v>2582</v>
      </c>
      <c r="X10" s="47">
        <f>SUM(O10:W10)</f>
        <v>41790</v>
      </c>
      <c r="Y10" s="47">
        <f>N10</f>
        <v>44546</v>
      </c>
      <c r="Z10" s="47">
        <f>X10-Y10</f>
        <v>-2756</v>
      </c>
      <c r="AA10" s="47">
        <f>N10-X10</f>
        <v>2756</v>
      </c>
      <c r="AB10" s="47">
        <f>X10-D13</f>
        <v>0</v>
      </c>
      <c r="AC10" s="49"/>
    </row>
    <row r="11" spans="1:29" s="3" customFormat="1" ht="36.75" customHeight="1" x14ac:dyDescent="0.25">
      <c r="A11" s="9"/>
      <c r="B11" s="9"/>
      <c r="C11" s="11"/>
      <c r="D11" s="11"/>
      <c r="E11" s="10">
        <f>5051+257+78+77</f>
        <v>5463</v>
      </c>
      <c r="F11" s="11"/>
      <c r="G11" s="11">
        <f>7137+169+462+109+17+100+3751+29+40</f>
        <v>11814</v>
      </c>
      <c r="H11" s="10">
        <f>3571+50+37</f>
        <v>3658</v>
      </c>
      <c r="I11" s="11">
        <f>G11+H11</f>
        <v>15472</v>
      </c>
      <c r="J11" s="11">
        <f>338496090600+96090600+423568908891+43876600002+115257102896+7794199321+3125520000+250045045585+450000000000</f>
        <v>1632259557895</v>
      </c>
      <c r="K11" s="11">
        <f>432710428526+96090600+272284463132+24230550000+115257102896+50000000000+50000000000+1925225000+177635936233+92545312078+132200000000</f>
        <v>1348885108465</v>
      </c>
      <c r="L11" s="11">
        <f>2823+101+19+6+100+5+37+100-407+100+29+1333</f>
        <v>4246</v>
      </c>
      <c r="M11" s="11">
        <f>1742+40+79+80+20+63+15+20-57+157-300+157+407+50+1450</f>
        <v>3923</v>
      </c>
      <c r="N11" s="11">
        <f>L11+M11</f>
        <v>8169</v>
      </c>
      <c r="O11" s="10">
        <f>1232+2+4+3</f>
        <v>1241</v>
      </c>
      <c r="P11" s="10">
        <v>0</v>
      </c>
      <c r="Q11" s="10">
        <f>419+5+9+6+9-50+27+50</f>
        <v>475</v>
      </c>
      <c r="R11" s="10">
        <f>127+3+4+25+30+13</f>
        <v>202</v>
      </c>
      <c r="S11" s="10">
        <f>180+7+9+16+9+109+20</f>
        <v>350</v>
      </c>
      <c r="T11" s="10">
        <f>1695+22+39+12+T23+1093+20-200-607+57+200-299+34+29+21+50</f>
        <v>2166</v>
      </c>
      <c r="U11" s="10">
        <f>119+5+9+14+15</f>
        <v>162</v>
      </c>
      <c r="V11" s="10">
        <f>467+5+13+16+16+6+5</f>
        <v>528</v>
      </c>
      <c r="W11" s="10">
        <f>272+3+6+1+16+5+29+7</f>
        <v>339</v>
      </c>
      <c r="X11" s="47">
        <f t="shared" ref="X11:X12" si="0">SUM(O11:W11)</f>
        <v>5463</v>
      </c>
      <c r="Y11" s="47">
        <f>N11</f>
        <v>8169</v>
      </c>
      <c r="Z11" s="47">
        <f>X11-Y11</f>
        <v>-2706</v>
      </c>
      <c r="AA11" s="47">
        <f>N11-X11</f>
        <v>2706</v>
      </c>
      <c r="AB11" s="49"/>
      <c r="AC11" s="49"/>
    </row>
    <row r="12" spans="1:29" s="3" customFormat="1" ht="36.75" customHeight="1" x14ac:dyDescent="0.25">
      <c r="A12" s="9"/>
      <c r="B12" s="9"/>
      <c r="C12" s="11"/>
      <c r="D12" s="11"/>
      <c r="E12" s="11"/>
      <c r="F12" s="10">
        <f>408+17+5+7</f>
        <v>437</v>
      </c>
      <c r="G12" s="11">
        <f>17117+145+5</f>
        <v>17267</v>
      </c>
      <c r="H12" s="7">
        <f>6811+145+7</f>
        <v>6963</v>
      </c>
      <c r="I12" s="11">
        <f>G12+H12</f>
        <v>24230</v>
      </c>
      <c r="J12" s="11">
        <f>4958993960000+8993960000+79034566613+1378750032747</f>
        <v>6425772519360</v>
      </c>
      <c r="K12" s="11">
        <f>8138917478610+8993960000+185090624156+105154111052</f>
        <v>8438156173818</v>
      </c>
      <c r="L12" s="11">
        <f>336+3+10+5</f>
        <v>354</v>
      </c>
      <c r="M12" s="11">
        <f>66+3+7</f>
        <v>76</v>
      </c>
      <c r="N12" s="11">
        <f>L12+M12</f>
        <v>430</v>
      </c>
      <c r="O12" s="10">
        <v>60</v>
      </c>
      <c r="P12" s="10">
        <v>1</v>
      </c>
      <c r="Q12" s="10">
        <f>82+3</f>
        <v>85</v>
      </c>
      <c r="R12" s="10">
        <v>2</v>
      </c>
      <c r="S12" s="10">
        <f>12+4+1</f>
        <v>17</v>
      </c>
      <c r="T12" s="10">
        <f>93+7+8+2+7</f>
        <v>117</v>
      </c>
      <c r="U12" s="10">
        <v>3</v>
      </c>
      <c r="V12" s="10">
        <v>148</v>
      </c>
      <c r="W12" s="10">
        <f>2+2</f>
        <v>4</v>
      </c>
      <c r="X12" s="47">
        <f t="shared" si="0"/>
        <v>437</v>
      </c>
      <c r="Y12" s="49">
        <v>402</v>
      </c>
      <c r="Z12" s="47">
        <f>SUM(Z10:Z11)</f>
        <v>-5462</v>
      </c>
      <c r="AA12" s="49"/>
      <c r="AB12" s="49"/>
      <c r="AC12" s="49"/>
    </row>
    <row r="13" spans="1:29" s="3" customFormat="1" ht="54" customHeight="1" x14ac:dyDescent="0.25">
      <c r="A13" s="9"/>
      <c r="B13" s="12" t="s">
        <v>15</v>
      </c>
      <c r="C13" s="13">
        <f>C10</f>
        <v>47690</v>
      </c>
      <c r="D13" s="13">
        <f>D10</f>
        <v>41790</v>
      </c>
      <c r="E13" s="13">
        <f>E11</f>
        <v>5463</v>
      </c>
      <c r="F13" s="13">
        <f>F12</f>
        <v>437</v>
      </c>
      <c r="G13" s="13">
        <f>SUM(G10:G12)</f>
        <v>62896</v>
      </c>
      <c r="H13" s="13">
        <f>SUM(H10:H12)</f>
        <v>60949</v>
      </c>
      <c r="I13" s="13">
        <f>SUM(I10:I12)</f>
        <v>123845</v>
      </c>
      <c r="J13" s="33">
        <f>SUM(J10:J12)</f>
        <v>8779069913610</v>
      </c>
      <c r="K13" s="33">
        <f t="shared" ref="K13:M13" si="1">SUM(K10:K12)</f>
        <v>11155411340519</v>
      </c>
      <c r="L13" s="13">
        <f t="shared" si="1"/>
        <v>26820</v>
      </c>
      <c r="M13" s="13">
        <f t="shared" si="1"/>
        <v>26325</v>
      </c>
      <c r="N13" s="13">
        <f>SUM(N10:N12)</f>
        <v>53145</v>
      </c>
      <c r="O13" s="13">
        <f>SUM(O10:O12)</f>
        <v>10889</v>
      </c>
      <c r="P13" s="13">
        <f t="shared" ref="P13:W13" si="2">SUM(P10:P12)</f>
        <v>1</v>
      </c>
      <c r="Q13" s="13">
        <f t="shared" si="2"/>
        <v>6592</v>
      </c>
      <c r="R13" s="13">
        <f t="shared" si="2"/>
        <v>2142</v>
      </c>
      <c r="S13" s="13">
        <f t="shared" si="2"/>
        <v>1934</v>
      </c>
      <c r="T13" s="13">
        <f>SUM(T10:T12)</f>
        <v>19740</v>
      </c>
      <c r="U13" s="13">
        <f t="shared" si="2"/>
        <v>637</v>
      </c>
      <c r="V13" s="13">
        <f t="shared" si="2"/>
        <v>2830</v>
      </c>
      <c r="W13" s="13">
        <f t="shared" si="2"/>
        <v>2925</v>
      </c>
      <c r="X13" s="47">
        <f>SUM(X10:X12)</f>
        <v>47690</v>
      </c>
      <c r="Y13" s="49"/>
      <c r="Z13" s="49"/>
      <c r="AA13" s="49"/>
      <c r="AB13" s="49"/>
      <c r="AC13" s="49"/>
    </row>
    <row r="14" spans="1:29" s="3" customFormat="1" ht="23.1" customHeight="1" x14ac:dyDescent="0.25">
      <c r="C14" s="14"/>
      <c r="D14" s="14"/>
      <c r="E14" s="14"/>
      <c r="F14" s="14"/>
      <c r="L14" s="14"/>
      <c r="N14" s="14"/>
      <c r="O14" s="34"/>
      <c r="P14" s="34"/>
      <c r="Q14" s="34"/>
      <c r="R14" s="34"/>
      <c r="S14" s="34"/>
      <c r="T14" s="34"/>
      <c r="U14" s="34"/>
      <c r="V14" s="48">
        <f>V13+W13</f>
        <v>5755</v>
      </c>
      <c r="W14" s="34"/>
      <c r="X14" s="49"/>
      <c r="Y14" s="49"/>
      <c r="Z14" s="49"/>
      <c r="AA14" s="49"/>
      <c r="AB14" s="49"/>
      <c r="AC14" s="49"/>
    </row>
    <row r="15" spans="1:29" s="3" customFormat="1" ht="23.1" customHeight="1" x14ac:dyDescent="0.25">
      <c r="C15" s="14"/>
      <c r="D15" s="14"/>
      <c r="E15" s="14"/>
      <c r="F15" s="14"/>
      <c r="G15" s="16"/>
      <c r="H15" s="15"/>
      <c r="I15" s="16"/>
      <c r="J15" s="67"/>
      <c r="K15" s="68"/>
      <c r="L15" s="15"/>
      <c r="M15" s="15"/>
      <c r="N15" s="16"/>
      <c r="O15" s="35"/>
      <c r="P15" s="35"/>
      <c r="Q15" s="34"/>
      <c r="R15" s="34"/>
      <c r="S15" s="34"/>
      <c r="T15" s="34"/>
      <c r="U15" s="34"/>
      <c r="V15" s="35"/>
      <c r="W15" s="34"/>
      <c r="X15" s="49"/>
      <c r="Y15" s="49"/>
      <c r="Z15" s="49"/>
      <c r="AA15" s="49"/>
      <c r="AB15" s="49"/>
      <c r="AC15" s="49"/>
    </row>
    <row r="16" spans="1:29" s="3" customFormat="1" ht="17.100000000000001" customHeight="1" x14ac:dyDescent="0.25">
      <c r="A16" s="17" t="s">
        <v>19</v>
      </c>
      <c r="B16" s="18"/>
      <c r="C16" s="14"/>
      <c r="D16" s="66"/>
      <c r="E16" s="15"/>
      <c r="F16" s="19"/>
      <c r="G16" s="19"/>
      <c r="H16" s="20"/>
      <c r="I16" s="20"/>
      <c r="J16" s="60"/>
      <c r="K16" s="61"/>
      <c r="L16" s="20"/>
      <c r="M16" s="20"/>
      <c r="N16" s="19"/>
      <c r="O16" s="34"/>
      <c r="P16" s="37"/>
      <c r="Q16" s="37"/>
      <c r="R16" s="44"/>
      <c r="S16" s="37"/>
      <c r="T16" s="37"/>
      <c r="U16" s="37"/>
      <c r="V16" s="37"/>
      <c r="W16" s="48"/>
      <c r="X16" s="49"/>
      <c r="Y16" s="49"/>
      <c r="Z16" s="49"/>
      <c r="AA16" s="49"/>
      <c r="AB16" s="49"/>
      <c r="AC16" s="49"/>
    </row>
    <row r="17" spans="1:29" s="3" customFormat="1" x14ac:dyDescent="0.2">
      <c r="A17" s="21" t="s">
        <v>20</v>
      </c>
      <c r="B17" s="18"/>
      <c r="C17" s="14"/>
      <c r="D17" s="14"/>
      <c r="E17" s="15"/>
      <c r="F17" s="19"/>
      <c r="G17" s="19"/>
      <c r="H17" s="20"/>
      <c r="I17" s="19"/>
      <c r="J17" s="36"/>
      <c r="K17" s="58"/>
      <c r="L17" s="19"/>
      <c r="M17" s="20"/>
      <c r="N17" s="20"/>
      <c r="O17" s="34"/>
      <c r="P17" s="37"/>
      <c r="Q17" s="37"/>
      <c r="R17" s="44"/>
      <c r="S17" s="37"/>
      <c r="T17" s="37"/>
      <c r="U17" s="37"/>
      <c r="V17" s="37"/>
      <c r="W17" s="48"/>
      <c r="X17" s="49"/>
      <c r="Y17" s="27">
        <v>30620</v>
      </c>
      <c r="Z17" s="49"/>
      <c r="AA17" s="49"/>
      <c r="AB17" s="49"/>
      <c r="AC17" s="49"/>
    </row>
    <row r="18" spans="1:29" s="3" customFormat="1" ht="15" x14ac:dyDescent="0.2">
      <c r="A18" s="21" t="s">
        <v>21</v>
      </c>
      <c r="B18" s="18"/>
      <c r="C18" s="14"/>
      <c r="D18" s="14"/>
      <c r="E18" s="15"/>
      <c r="F18" s="22"/>
      <c r="G18" s="20"/>
      <c r="H18" s="20"/>
      <c r="I18" s="20"/>
      <c r="K18" s="62"/>
      <c r="L18" s="59"/>
      <c r="M18" s="20"/>
      <c r="N18" s="20"/>
      <c r="O18" s="38"/>
      <c r="P18" s="37"/>
      <c r="Q18" s="37"/>
      <c r="R18" s="44"/>
      <c r="S18" s="37"/>
      <c r="T18" s="37"/>
      <c r="U18" s="37"/>
      <c r="V18" s="37"/>
      <c r="W18" s="48"/>
      <c r="X18" s="49"/>
      <c r="Y18" s="27">
        <v>30363</v>
      </c>
      <c r="Z18" s="49"/>
      <c r="AA18" s="49"/>
      <c r="AB18" s="49"/>
      <c r="AC18" s="49"/>
    </row>
    <row r="19" spans="1:29" s="3" customFormat="1" x14ac:dyDescent="0.2">
      <c r="A19" s="21" t="s">
        <v>22</v>
      </c>
      <c r="B19" s="18"/>
      <c r="D19" s="14"/>
      <c r="E19" s="15"/>
      <c r="F19" s="19"/>
      <c r="G19" s="19"/>
      <c r="H19" s="19"/>
      <c r="I19" s="20"/>
      <c r="J19" s="36"/>
      <c r="K19" s="36"/>
      <c r="L19" s="19"/>
      <c r="M19" s="20"/>
      <c r="N19" s="20"/>
      <c r="O19" s="34"/>
      <c r="P19" s="34"/>
      <c r="Q19" s="34"/>
      <c r="R19" s="34"/>
      <c r="S19" s="34"/>
      <c r="T19" s="34"/>
      <c r="U19" s="34"/>
      <c r="V19" s="34"/>
      <c r="W19" s="34"/>
      <c r="X19" s="49"/>
      <c r="Y19" s="5"/>
      <c r="Z19" s="49"/>
      <c r="AA19" s="49"/>
      <c r="AB19" s="49"/>
      <c r="AC19" s="49"/>
    </row>
    <row r="20" spans="1:29" x14ac:dyDescent="0.2">
      <c r="A20" s="21" t="s">
        <v>23</v>
      </c>
      <c r="B20" s="18"/>
      <c r="E20" s="23"/>
      <c r="F20" s="24"/>
      <c r="G20" s="25"/>
      <c r="H20" s="19"/>
      <c r="I20" s="24"/>
      <c r="J20" s="39"/>
      <c r="K20" s="25"/>
      <c r="L20" s="25"/>
      <c r="M20" s="24"/>
      <c r="N20" s="25"/>
      <c r="P20" s="24"/>
      <c r="Q20" s="24"/>
      <c r="R20" s="44"/>
      <c r="S20" s="24"/>
      <c r="T20" s="24"/>
      <c r="U20" s="24"/>
      <c r="V20" s="24"/>
      <c r="W20" s="5"/>
      <c r="AB20" s="52"/>
      <c r="AC20" s="52"/>
    </row>
    <row r="21" spans="1:29" x14ac:dyDescent="0.2">
      <c r="A21" s="53" t="s">
        <v>24</v>
      </c>
      <c r="B21" s="18"/>
      <c r="E21" s="23"/>
      <c r="F21" s="25"/>
      <c r="G21" s="24"/>
      <c r="H21" s="25"/>
      <c r="I21" s="24"/>
      <c r="J21" s="24"/>
      <c r="K21" s="24"/>
      <c r="L21" s="24"/>
      <c r="M21" s="24"/>
      <c r="N21" s="24"/>
      <c r="O21" s="39"/>
      <c r="P21" s="24"/>
      <c r="Q21" s="25"/>
      <c r="R21" s="44"/>
      <c r="S21" s="25"/>
      <c r="T21" s="24"/>
      <c r="U21" s="24"/>
      <c r="V21" s="24"/>
      <c r="W21" s="5"/>
      <c r="Y21" s="32">
        <f>Y17-Y18</f>
        <v>257</v>
      </c>
    </row>
    <row r="22" spans="1:29" ht="15" x14ac:dyDescent="0.2">
      <c r="A22" s="53" t="s">
        <v>25</v>
      </c>
      <c r="B22" s="18"/>
      <c r="E22" s="23"/>
      <c r="F22" s="24"/>
      <c r="G22" s="24"/>
      <c r="H22" s="24"/>
      <c r="I22" s="25"/>
      <c r="J22" s="40"/>
      <c r="K22" s="41"/>
      <c r="L22" s="24"/>
      <c r="M22" s="24"/>
      <c r="N22" s="24"/>
      <c r="P22" s="24"/>
      <c r="Q22" s="24"/>
      <c r="R22" s="56"/>
      <c r="S22" s="24"/>
      <c r="T22" s="24"/>
      <c r="U22" s="24"/>
      <c r="V22" s="25"/>
      <c r="W22" s="5"/>
      <c r="Y22" s="5">
        <f>Y21/Y18*100</f>
        <v>0.84642492507327993</v>
      </c>
    </row>
    <row r="23" spans="1:29" x14ac:dyDescent="0.2">
      <c r="A23" s="53" t="s">
        <v>26</v>
      </c>
      <c r="B23" s="18"/>
      <c r="E23" s="23"/>
      <c r="F23" s="24"/>
      <c r="G23" s="24"/>
      <c r="H23" s="24"/>
      <c r="I23" s="24"/>
      <c r="J23" s="24"/>
      <c r="K23" s="42"/>
      <c r="L23" s="24"/>
      <c r="M23" s="25"/>
      <c r="N23" s="24"/>
      <c r="O23" s="39"/>
      <c r="P23" s="24"/>
      <c r="Q23" s="24"/>
      <c r="R23" s="44"/>
      <c r="S23" s="25"/>
      <c r="T23" s="24"/>
      <c r="U23" s="24"/>
      <c r="V23" s="24"/>
      <c r="W23" s="5"/>
    </row>
    <row r="24" spans="1:29" x14ac:dyDescent="0.2">
      <c r="A24" s="53" t="s">
        <v>27</v>
      </c>
      <c r="B24" s="18"/>
      <c r="E24" s="23"/>
      <c r="F24" s="24"/>
      <c r="G24" s="24"/>
      <c r="H24" s="25"/>
      <c r="I24" s="24"/>
      <c r="J24" s="41"/>
      <c r="K24" s="69"/>
      <c r="L24" s="24"/>
      <c r="M24" s="24"/>
      <c r="N24" s="24"/>
      <c r="P24" s="24"/>
      <c r="Q24" s="24"/>
      <c r="R24" s="44"/>
      <c r="S24" s="24"/>
      <c r="T24" s="24"/>
      <c r="U24" s="24"/>
      <c r="V24" s="24"/>
      <c r="W24" s="5"/>
    </row>
    <row r="25" spans="1:29" ht="15" x14ac:dyDescent="0.2">
      <c r="A25" s="53" t="s">
        <v>28</v>
      </c>
      <c r="B25" s="18"/>
      <c r="E25" s="23"/>
      <c r="F25" s="25"/>
      <c r="G25" s="24"/>
      <c r="H25" s="24"/>
      <c r="I25" s="24"/>
      <c r="J25" s="24"/>
      <c r="K25" s="24"/>
      <c r="L25" s="43"/>
      <c r="M25" s="42"/>
      <c r="N25" s="70"/>
      <c r="O25" s="29"/>
      <c r="P25" s="24"/>
      <c r="Q25" s="24"/>
      <c r="R25" s="57"/>
      <c r="S25" s="24"/>
      <c r="T25" s="24"/>
      <c r="U25" s="24"/>
      <c r="V25" s="24"/>
      <c r="W25" s="5"/>
    </row>
    <row r="26" spans="1:29" ht="15" x14ac:dyDescent="0.2">
      <c r="E26" s="26"/>
      <c r="F26" s="25"/>
      <c r="G26" s="24"/>
      <c r="H26" s="24"/>
      <c r="I26" s="24"/>
      <c r="J26" s="24"/>
      <c r="K26" s="24"/>
      <c r="L26" s="43"/>
      <c r="M26" s="42"/>
      <c r="N26" s="70"/>
      <c r="O26" s="24"/>
      <c r="P26" s="24"/>
      <c r="Q26" s="24"/>
      <c r="R26" s="50"/>
      <c r="S26" s="24"/>
      <c r="T26" s="24"/>
      <c r="U26" s="24"/>
      <c r="V26" s="24"/>
      <c r="W26" s="5"/>
    </row>
    <row r="27" spans="1:29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43"/>
      <c r="M27" s="41"/>
      <c r="N27" s="24"/>
      <c r="O27" s="24"/>
      <c r="P27" s="24"/>
      <c r="Q27" s="24"/>
      <c r="R27" s="51"/>
      <c r="S27" s="24"/>
      <c r="T27" s="24"/>
      <c r="U27" s="24"/>
      <c r="V27" s="24"/>
      <c r="W27" s="5"/>
    </row>
    <row r="28" spans="1:29" x14ac:dyDescent="0.2">
      <c r="A28" s="5"/>
      <c r="B28" s="5"/>
      <c r="C28" s="27">
        <v>2014</v>
      </c>
      <c r="D28" s="5"/>
      <c r="E28" s="5"/>
      <c r="F28" s="24"/>
      <c r="G28" s="25"/>
      <c r="H28" s="24"/>
      <c r="I28" s="24"/>
      <c r="J28" s="24"/>
      <c r="K28" s="24"/>
      <c r="L28" s="43"/>
      <c r="M28" s="24"/>
      <c r="N28" s="70"/>
      <c r="O28" s="41"/>
      <c r="P28" s="24"/>
      <c r="Q28" s="24"/>
      <c r="R28" s="51"/>
      <c r="S28" s="24"/>
      <c r="T28" s="24"/>
      <c r="U28" s="24"/>
      <c r="V28" s="24"/>
      <c r="W28" s="5"/>
    </row>
    <row r="29" spans="1:29" x14ac:dyDescent="0.2">
      <c r="A29" s="5"/>
      <c r="B29" s="5"/>
      <c r="C29" s="28">
        <f>C28/C13*100</f>
        <v>4.2231075697211153</v>
      </c>
      <c r="D29" s="26" t="s">
        <v>40</v>
      </c>
      <c r="E29" s="5"/>
      <c r="F29" s="29"/>
      <c r="G29" s="24"/>
      <c r="H29" s="24"/>
      <c r="I29" s="24"/>
      <c r="J29" s="24"/>
      <c r="K29" s="24"/>
      <c r="L29" s="43"/>
      <c r="M29" s="42"/>
      <c r="N29" s="70"/>
      <c r="O29" s="24"/>
      <c r="P29" s="24"/>
      <c r="Q29" s="24"/>
      <c r="R29" s="24"/>
      <c r="S29" s="24"/>
      <c r="T29" s="24"/>
      <c r="U29" s="24"/>
      <c r="V29" s="24"/>
      <c r="W29" s="5"/>
    </row>
    <row r="30" spans="1:29" x14ac:dyDescent="0.2">
      <c r="A30" s="5"/>
      <c r="B30" s="5" t="s">
        <v>30</v>
      </c>
      <c r="C30" s="27"/>
      <c r="D30" s="30" t="s">
        <v>31</v>
      </c>
      <c r="E30" s="5"/>
      <c r="F30" s="5"/>
      <c r="G30" s="24"/>
      <c r="H30" s="54" t="s">
        <v>32</v>
      </c>
      <c r="I30" s="71" t="s">
        <v>33</v>
      </c>
      <c r="J30" s="72"/>
      <c r="K30" s="72"/>
      <c r="L30" s="72"/>
      <c r="M30" s="24"/>
      <c r="N30" s="24"/>
      <c r="O30" s="24"/>
      <c r="P30" s="24"/>
      <c r="Q30" s="24"/>
      <c r="R30" s="24"/>
      <c r="S30" s="25"/>
      <c r="T30" s="24"/>
      <c r="U30" s="24"/>
      <c r="V30" s="24"/>
      <c r="W30" s="5"/>
    </row>
    <row r="31" spans="1:29" x14ac:dyDescent="0.2">
      <c r="A31" s="5"/>
      <c r="B31" s="5" t="s">
        <v>29</v>
      </c>
      <c r="C31" s="27">
        <v>19821</v>
      </c>
      <c r="D31" s="28" t="e">
        <f>#REF!/E12*100</f>
        <v>#REF!</v>
      </c>
      <c r="F31" s="5"/>
      <c r="G31" s="24"/>
      <c r="H31" s="24"/>
      <c r="I31" s="72"/>
      <c r="J31" s="72"/>
      <c r="K31" s="72"/>
      <c r="L31" s="72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5"/>
    </row>
    <row r="32" spans="1:29" x14ac:dyDescent="0.2">
      <c r="A32" s="5"/>
      <c r="B32" s="5"/>
      <c r="C32" s="28">
        <f>C31/D13*100</f>
        <v>47.430007178750898</v>
      </c>
      <c r="D32" s="5"/>
      <c r="F32" s="5"/>
      <c r="G32" s="24"/>
      <c r="H32" s="29"/>
      <c r="I32" s="72"/>
      <c r="J32" s="72"/>
      <c r="K32" s="72"/>
      <c r="L32" s="72"/>
      <c r="M32" s="24"/>
      <c r="N32" s="24"/>
      <c r="O32" s="24"/>
      <c r="P32" s="24"/>
      <c r="Q32" s="24"/>
      <c r="R32" s="24"/>
      <c r="S32" s="25"/>
      <c r="T32" s="24"/>
      <c r="U32" s="24"/>
      <c r="V32" s="24"/>
      <c r="W32" s="5"/>
    </row>
    <row r="33" spans="1:23" x14ac:dyDescent="0.2">
      <c r="A33" s="5"/>
      <c r="B33" s="5"/>
      <c r="C33" s="5"/>
      <c r="D33" s="27">
        <v>20148</v>
      </c>
      <c r="F33" s="5"/>
      <c r="G33" s="24"/>
      <c r="H33" s="24"/>
      <c r="I33" s="72"/>
      <c r="J33" s="72"/>
      <c r="K33" s="72"/>
      <c r="L33" s="72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5"/>
    </row>
    <row r="34" spans="1:23" x14ac:dyDescent="0.2">
      <c r="A34" s="5"/>
      <c r="B34" s="5"/>
      <c r="C34" s="27">
        <v>20148</v>
      </c>
      <c r="D34" s="28" t="e">
        <f>D33/E12*100</f>
        <v>#DIV/0!</v>
      </c>
      <c r="E34" s="5"/>
      <c r="F34" s="5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5"/>
    </row>
    <row r="35" spans="1:23" x14ac:dyDescent="0.2">
      <c r="A35" s="5"/>
      <c r="B35" s="5"/>
      <c r="C35" s="28">
        <f>C34/D13*100</f>
        <v>48.212491026561381</v>
      </c>
      <c r="D35" s="27"/>
      <c r="E35" s="5"/>
      <c r="F35" s="5"/>
      <c r="G35" s="24"/>
      <c r="H35" s="54" t="s">
        <v>32</v>
      </c>
      <c r="I35" s="24"/>
      <c r="J35" s="73" t="s">
        <v>37</v>
      </c>
      <c r="K35" s="74"/>
      <c r="L35" s="7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5"/>
    </row>
    <row r="36" spans="1:23" x14ac:dyDescent="0.2">
      <c r="A36" s="5"/>
      <c r="B36" s="5"/>
      <c r="C36" s="27"/>
      <c r="D36" s="27">
        <f>1217-297</f>
        <v>920</v>
      </c>
      <c r="E36" s="5"/>
      <c r="F36" s="5"/>
      <c r="G36" s="24"/>
      <c r="H36" s="24"/>
      <c r="I36" s="24"/>
      <c r="J36" s="74"/>
      <c r="K36" s="74"/>
      <c r="L36" s="7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5"/>
    </row>
    <row r="37" spans="1:23" x14ac:dyDescent="0.2">
      <c r="A37" s="5"/>
      <c r="B37" s="5"/>
      <c r="C37" s="27">
        <f>1217-297</f>
        <v>920</v>
      </c>
      <c r="D37" s="27">
        <v>297</v>
      </c>
      <c r="E37" s="5"/>
      <c r="F37" s="5"/>
      <c r="G37" s="24"/>
      <c r="H37" s="24"/>
      <c r="I37" s="24"/>
      <c r="J37" s="74"/>
      <c r="K37" s="74"/>
      <c r="L37" s="7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5"/>
    </row>
    <row r="38" spans="1:23" x14ac:dyDescent="0.2">
      <c r="A38" s="5"/>
      <c r="B38" s="5"/>
      <c r="C38" s="27">
        <v>297</v>
      </c>
      <c r="D38" s="28">
        <f>D37/D36*100</f>
        <v>32.282608695652179</v>
      </c>
      <c r="E38" s="5"/>
      <c r="F38" s="5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3" x14ac:dyDescent="0.2">
      <c r="A39" s="5"/>
      <c r="B39" s="5"/>
      <c r="C39" s="28">
        <f>C38/C37*100</f>
        <v>32.282608695652179</v>
      </c>
      <c r="D39" s="27"/>
      <c r="E39" s="5"/>
      <c r="F39" s="5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3" x14ac:dyDescent="0.2">
      <c r="A40" s="5"/>
      <c r="B40" s="5"/>
      <c r="C40" s="27"/>
      <c r="D40" s="27"/>
      <c r="E40" s="5"/>
      <c r="F40" s="5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24"/>
      <c r="U40" s="24"/>
      <c r="V40" s="24"/>
    </row>
    <row r="41" spans="1:23" x14ac:dyDescent="0.2">
      <c r="A41" s="5"/>
      <c r="B41" s="5"/>
      <c r="C41" s="27"/>
      <c r="D41" s="27"/>
      <c r="E41" s="5"/>
      <c r="F41" s="5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3" x14ac:dyDescent="0.2">
      <c r="A42" s="5"/>
      <c r="B42" s="5"/>
      <c r="C42" s="27"/>
      <c r="D42" s="55" t="s">
        <v>34</v>
      </c>
      <c r="E42" s="5"/>
      <c r="F42" s="5"/>
      <c r="G42" s="24"/>
      <c r="H42" s="54" t="s">
        <v>32</v>
      </c>
      <c r="I42" s="71" t="s">
        <v>35</v>
      </c>
      <c r="J42" s="72"/>
      <c r="K42" s="72"/>
      <c r="L42" s="72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3" x14ac:dyDescent="0.2">
      <c r="A43" s="5"/>
      <c r="B43" s="5"/>
      <c r="C43" s="27">
        <v>2014</v>
      </c>
      <c r="D43" s="27">
        <v>813</v>
      </c>
      <c r="E43" s="5"/>
      <c r="F43" s="5"/>
      <c r="G43" s="5"/>
      <c r="H43" s="5"/>
      <c r="I43" s="72"/>
      <c r="J43" s="72"/>
      <c r="K43" s="72"/>
      <c r="L43" s="72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3" x14ac:dyDescent="0.2">
      <c r="A44" s="5"/>
      <c r="B44" s="5"/>
      <c r="C44" s="27">
        <v>813</v>
      </c>
      <c r="D44" s="27" t="e">
        <f>D42-D43</f>
        <v>#VALUE!</v>
      </c>
      <c r="E44" s="5"/>
      <c r="F44" s="5"/>
      <c r="G44" s="5"/>
      <c r="H44" s="5"/>
      <c r="I44" s="72"/>
      <c r="J44" s="72"/>
      <c r="K44" s="72"/>
      <c r="L44" s="72"/>
      <c r="M44" s="5"/>
      <c r="N44" s="5"/>
      <c r="O44" s="5"/>
      <c r="P44" s="24"/>
      <c r="Q44" s="24"/>
      <c r="R44" s="24"/>
      <c r="S44" s="24"/>
      <c r="T44" s="24"/>
      <c r="U44" s="24"/>
      <c r="V44" s="24"/>
    </row>
    <row r="45" spans="1:23" x14ac:dyDescent="0.2">
      <c r="A45" s="5"/>
      <c r="B45" s="5"/>
      <c r="C45" s="27">
        <f>C43-C44</f>
        <v>1201</v>
      </c>
      <c r="D45" s="28" t="e">
        <f>D43/D44*100</f>
        <v>#VALUE!</v>
      </c>
      <c r="E45" s="5"/>
      <c r="F45" s="5"/>
      <c r="G45" s="5"/>
      <c r="H45" s="5"/>
      <c r="I45" s="72"/>
      <c r="J45" s="72"/>
      <c r="K45" s="72"/>
      <c r="L45" s="72"/>
      <c r="M45" s="5"/>
      <c r="N45" s="5"/>
      <c r="O45" s="5"/>
      <c r="P45" s="24"/>
      <c r="Q45" s="24"/>
      <c r="R45" s="24"/>
      <c r="S45" s="24"/>
      <c r="T45" s="24"/>
      <c r="U45" s="24"/>
      <c r="V45" s="24"/>
    </row>
    <row r="46" spans="1:23" x14ac:dyDescent="0.2">
      <c r="A46" s="5"/>
      <c r="B46" s="5"/>
      <c r="C46" s="28">
        <f>C44/C45*100</f>
        <v>67.693588676103246</v>
      </c>
      <c r="D46" s="27"/>
      <c r="E46" s="5"/>
      <c r="F46" s="5"/>
      <c r="G46" s="5"/>
      <c r="H46" s="5"/>
      <c r="I46" s="5"/>
      <c r="J46" s="5"/>
      <c r="K46" s="5"/>
      <c r="L46" s="24"/>
      <c r="M46" s="5"/>
      <c r="N46" s="5"/>
      <c r="O46" s="5"/>
      <c r="P46" s="24"/>
      <c r="Q46" s="24"/>
      <c r="R46" s="24"/>
      <c r="S46" s="24"/>
      <c r="T46" s="24"/>
      <c r="U46" s="24"/>
      <c r="V46" s="24"/>
    </row>
    <row r="47" spans="1:23" x14ac:dyDescent="0.2">
      <c r="A47" s="5"/>
      <c r="B47" s="27">
        <v>31450000</v>
      </c>
      <c r="C47" s="27"/>
      <c r="D47" s="27">
        <v>14631</v>
      </c>
      <c r="E47" s="5"/>
      <c r="F47" s="5"/>
      <c r="G47" s="5"/>
      <c r="H47" s="5"/>
      <c r="I47" s="71" t="s">
        <v>38</v>
      </c>
      <c r="J47" s="72"/>
      <c r="K47" s="72"/>
      <c r="L47" s="72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3" x14ac:dyDescent="0.2">
      <c r="A48" s="5"/>
      <c r="B48" s="27">
        <f>10%*B47</f>
        <v>3145000</v>
      </c>
      <c r="C48" s="27">
        <v>14631</v>
      </c>
      <c r="D48" s="31" t="e">
        <f>D47/E12*100</f>
        <v>#DIV/0!</v>
      </c>
      <c r="E48" s="5"/>
      <c r="F48" s="5"/>
      <c r="G48" s="5"/>
      <c r="H48" s="54" t="s">
        <v>32</v>
      </c>
      <c r="I48" s="72"/>
      <c r="J48" s="72"/>
      <c r="K48" s="72"/>
      <c r="L48" s="72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x14ac:dyDescent="0.2">
      <c r="A49" s="5"/>
      <c r="B49" s="32">
        <f>SUM(B47:B48)</f>
        <v>34595000</v>
      </c>
      <c r="C49" s="31">
        <f>C48/D13*100</f>
        <v>35.010768126346015</v>
      </c>
      <c r="D49" s="5"/>
      <c r="E49" s="5"/>
      <c r="F49" s="5"/>
      <c r="G49" s="5"/>
      <c r="H49" s="5"/>
      <c r="I49" s="72"/>
      <c r="J49" s="72"/>
      <c r="K49" s="72"/>
      <c r="L49" s="72"/>
      <c r="M49" s="5"/>
      <c r="N49" s="5"/>
      <c r="O49" s="24"/>
      <c r="P49" s="24"/>
      <c r="Q49" s="24"/>
      <c r="R49" s="24"/>
      <c r="S49" s="24"/>
      <c r="T49" s="24"/>
      <c r="U49" s="24"/>
      <c r="V49" s="24"/>
    </row>
    <row r="50" spans="1:22" x14ac:dyDescent="0.2">
      <c r="A50" s="5"/>
      <c r="B50" s="5"/>
      <c r="C50" s="5"/>
      <c r="D50" s="27">
        <v>20694</v>
      </c>
      <c r="E50" s="5"/>
      <c r="F50" s="5"/>
      <c r="G50" s="5"/>
      <c r="H50" s="5"/>
      <c r="I50" s="72"/>
      <c r="J50" s="72"/>
      <c r="K50" s="72"/>
      <c r="L50" s="72"/>
      <c r="M50" s="5"/>
      <c r="N50" s="5"/>
      <c r="O50" s="24"/>
      <c r="P50" s="24"/>
      <c r="Q50" s="24"/>
      <c r="R50" s="24"/>
      <c r="S50" s="24"/>
      <c r="T50" s="24"/>
      <c r="U50" s="24"/>
      <c r="V50" s="24"/>
    </row>
    <row r="51" spans="1:22" x14ac:dyDescent="0.2">
      <c r="A51" s="5"/>
      <c r="B51" s="5"/>
      <c r="C51" s="27">
        <v>20694</v>
      </c>
      <c r="D51" s="5"/>
      <c r="E51" s="5"/>
      <c r="F51" s="5"/>
      <c r="G51" s="5"/>
      <c r="H51" s="5"/>
      <c r="I51" s="5"/>
      <c r="J51" s="5"/>
      <c r="K51" s="5">
        <v>26978</v>
      </c>
      <c r="L51" s="5"/>
      <c r="M51" s="5"/>
      <c r="N51" s="5"/>
      <c r="O51" s="24"/>
      <c r="P51" s="24"/>
      <c r="Q51" s="24"/>
      <c r="R51" s="24"/>
      <c r="S51" s="24"/>
      <c r="T51" s="24"/>
      <c r="U51" s="24"/>
      <c r="V51" s="24"/>
    </row>
    <row r="52" spans="1:22" x14ac:dyDescent="0.2">
      <c r="A52" s="5"/>
      <c r="B52" s="5"/>
      <c r="C52" s="28">
        <f>C51/D13*100</f>
        <v>49.519023689877962</v>
      </c>
      <c r="D52" s="5"/>
      <c r="E52" s="5"/>
      <c r="F52" s="5">
        <v>11271</v>
      </c>
      <c r="G52" s="5"/>
      <c r="H52" s="5">
        <v>2679</v>
      </c>
      <c r="I52" s="5">
        <v>402</v>
      </c>
      <c r="J52" s="5"/>
      <c r="K52" s="5">
        <f>3764</f>
        <v>3764</v>
      </c>
      <c r="L52" s="5"/>
      <c r="M52" s="5"/>
      <c r="N52" s="5"/>
      <c r="O52" s="24"/>
      <c r="P52" s="24"/>
    </row>
    <row r="53" spans="1:22" x14ac:dyDescent="0.2">
      <c r="A53" s="5"/>
      <c r="B53" s="5"/>
      <c r="C53" s="27"/>
      <c r="D53" s="5"/>
      <c r="E53" s="5"/>
      <c r="F53" s="5">
        <v>14986</v>
      </c>
      <c r="G53" s="5"/>
      <c r="H53" s="5"/>
      <c r="I53" s="5"/>
      <c r="J53" s="5"/>
      <c r="K53" s="5">
        <v>402</v>
      </c>
      <c r="L53" s="5"/>
      <c r="M53" s="5"/>
      <c r="N53" s="5"/>
      <c r="O53" s="24"/>
      <c r="P53" s="24"/>
    </row>
    <row r="54" spans="1:22" x14ac:dyDescent="0.2">
      <c r="A54" s="5"/>
      <c r="B54" s="5"/>
      <c r="C54" s="27">
        <v>7762</v>
      </c>
      <c r="D54" s="5"/>
      <c r="E54" s="5"/>
      <c r="F54" s="5"/>
      <c r="G54" s="5"/>
      <c r="H54" s="5"/>
      <c r="I54" s="5"/>
      <c r="J54" s="5"/>
      <c r="K54" s="5">
        <f>K51+K52</f>
        <v>30742</v>
      </c>
      <c r="L54" s="5"/>
      <c r="M54" s="5"/>
      <c r="N54" s="5"/>
      <c r="O54" s="24"/>
      <c r="P54" s="24"/>
    </row>
    <row r="55" spans="1:22" x14ac:dyDescent="0.2">
      <c r="A55" s="5"/>
      <c r="B55" s="5"/>
      <c r="C55" s="28">
        <f>C54/D13*100</f>
        <v>18.573821488394351</v>
      </c>
      <c r="D55" s="5"/>
      <c r="E55" s="5"/>
      <c r="F55" s="5">
        <v>117</v>
      </c>
      <c r="G55" s="5"/>
      <c r="H55" s="5">
        <v>21</v>
      </c>
      <c r="I55" s="5">
        <v>7</v>
      </c>
      <c r="J55" s="5"/>
      <c r="K55" s="5">
        <v>3206</v>
      </c>
      <c r="L55" s="5"/>
      <c r="M55" s="5"/>
      <c r="N55" s="5"/>
      <c r="O55" s="24"/>
      <c r="P55" s="24"/>
    </row>
    <row r="56" spans="1:22" x14ac:dyDescent="0.2">
      <c r="A56" s="5"/>
      <c r="B56" s="5"/>
      <c r="C56" s="27"/>
      <c r="D56" s="5"/>
      <c r="E56" s="5"/>
      <c r="F56" s="5">
        <v>69</v>
      </c>
      <c r="G56" s="5"/>
      <c r="H56" s="5">
        <v>13</v>
      </c>
      <c r="I56" s="5"/>
      <c r="J56" s="5"/>
      <c r="K56" s="5">
        <f>K52-K55</f>
        <v>558</v>
      </c>
      <c r="L56" s="5"/>
      <c r="M56" s="5"/>
      <c r="N56" s="5"/>
      <c r="O56" s="24"/>
      <c r="P56" s="24"/>
    </row>
    <row r="57" spans="1:22" x14ac:dyDescent="0.2">
      <c r="A57" s="5"/>
      <c r="B57" s="5"/>
      <c r="C57" s="27"/>
      <c r="D57" s="5"/>
      <c r="E57" s="5"/>
      <c r="F57" s="5">
        <f>F55-F56</f>
        <v>48</v>
      </c>
      <c r="G57" s="5"/>
      <c r="H57" s="5">
        <v>8</v>
      </c>
      <c r="I57" s="5"/>
      <c r="J57" s="5"/>
      <c r="K57" s="5">
        <f>K56/K54</f>
        <v>1.8151063691366858E-2</v>
      </c>
      <c r="L57" s="5"/>
      <c r="M57" s="5"/>
      <c r="N57" s="5"/>
      <c r="O57" s="24"/>
      <c r="P57" s="24"/>
    </row>
    <row r="58" spans="1:22" x14ac:dyDescent="0.2">
      <c r="A58" s="5"/>
      <c r="B58" s="5"/>
      <c r="C58" s="27"/>
      <c r="D58" s="5"/>
      <c r="E58" s="5"/>
      <c r="F58" s="5">
        <f>F52+F57</f>
        <v>11319</v>
      </c>
      <c r="G58" s="5" t="s">
        <v>13</v>
      </c>
      <c r="H58" s="5">
        <f>1617+H56</f>
        <v>1630</v>
      </c>
      <c r="I58" s="5">
        <f>289+5</f>
        <v>294</v>
      </c>
      <c r="J58" s="5"/>
      <c r="K58" s="5"/>
      <c r="L58" s="5"/>
      <c r="M58" s="5"/>
      <c r="N58" s="5"/>
      <c r="O58" s="24"/>
      <c r="P58" s="24"/>
    </row>
    <row r="59" spans="1:22" x14ac:dyDescent="0.2">
      <c r="A59" s="5"/>
      <c r="B59" s="5"/>
      <c r="C59" s="27"/>
      <c r="D59" s="5"/>
      <c r="E59" s="5"/>
      <c r="F59" s="5">
        <f>F53+F56</f>
        <v>15055</v>
      </c>
      <c r="G59" s="5" t="s">
        <v>14</v>
      </c>
      <c r="H59" s="5">
        <f>1062+H57</f>
        <v>1070</v>
      </c>
      <c r="I59" s="5">
        <f>113+2</f>
        <v>115</v>
      </c>
      <c r="J59" s="5"/>
      <c r="K59" s="5"/>
      <c r="L59" s="5"/>
      <c r="M59" s="5"/>
      <c r="N59" s="5"/>
      <c r="O59" s="24"/>
      <c r="P59" s="24"/>
    </row>
    <row r="60" spans="1:22" x14ac:dyDescent="0.2">
      <c r="A60" s="5"/>
      <c r="B60" s="5"/>
      <c r="C60" s="27"/>
      <c r="D60" s="5"/>
      <c r="E60" s="5"/>
      <c r="F60" s="5">
        <f>SUM(F58:F59)</f>
        <v>26374</v>
      </c>
      <c r="G60" s="5"/>
      <c r="H60" s="5">
        <f>SUM(H58:H59)</f>
        <v>2700</v>
      </c>
      <c r="I60" s="5">
        <f>SUM(I58:I59)</f>
        <v>409</v>
      </c>
      <c r="J60" s="5"/>
      <c r="K60" s="5"/>
      <c r="L60" s="5"/>
      <c r="M60" s="5"/>
      <c r="N60" s="5"/>
      <c r="O60" s="24"/>
      <c r="P60" s="24"/>
    </row>
    <row r="61" spans="1:22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24"/>
      <c r="P61" s="24"/>
    </row>
    <row r="62" spans="1:22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24"/>
      <c r="P62" s="24"/>
    </row>
    <row r="63" spans="1:22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24"/>
      <c r="P63" s="24"/>
    </row>
    <row r="64" spans="1:22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</row>
    <row r="65" spans="1:16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</row>
    <row r="66" spans="1:16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</row>
    <row r="67" spans="1:16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</row>
    <row r="68" spans="1:16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</row>
    <row r="69" spans="1:16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</row>
    <row r="70" spans="1:16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</row>
    <row r="71" spans="1:16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</row>
    <row r="72" spans="1:16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</row>
    <row r="73" spans="1:16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 spans="1:16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</row>
    <row r="75" spans="1:16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</row>
    <row r="79" spans="1:16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</row>
    <row r="81" spans="1:16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</row>
    <row r="82" spans="1:16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</row>
    <row r="83" spans="1:16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</row>
    <row r="84" spans="1:16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</row>
  </sheetData>
  <mergeCells count="23">
    <mergeCell ref="A1:W1"/>
    <mergeCell ref="A2:W2"/>
    <mergeCell ref="A3:W3"/>
    <mergeCell ref="A4:W4"/>
    <mergeCell ref="G7:I7"/>
    <mergeCell ref="L7:N7"/>
    <mergeCell ref="O7:W7"/>
    <mergeCell ref="C9:F9"/>
    <mergeCell ref="G9:I9"/>
    <mergeCell ref="L9:N9"/>
    <mergeCell ref="O9:W9"/>
    <mergeCell ref="A7:A8"/>
    <mergeCell ref="B7:B8"/>
    <mergeCell ref="C7:C8"/>
    <mergeCell ref="D7:D8"/>
    <mergeCell ref="E7:E8"/>
    <mergeCell ref="F7:F8"/>
    <mergeCell ref="I47:L50"/>
    <mergeCell ref="N25:N26"/>
    <mergeCell ref="N28:N29"/>
    <mergeCell ref="I30:L33"/>
    <mergeCell ref="J35:L37"/>
    <mergeCell ref="I42:L45"/>
  </mergeCells>
  <pageMargins left="0.70866141732283505" right="0.70866141732283505" top="0.74803149606299202" bottom="0.74803149606299202" header="0.31496062992126" footer="0.31496062992126"/>
  <pageSetup paperSize="9" scale="4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IKK</vt:lpstr>
      <vt:lpstr>Sheet1</vt:lpstr>
      <vt:lpstr>IKK!Print_Area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USER</cp:lastModifiedBy>
  <cp:lastPrinted>2023-10-05T04:43:00Z</cp:lastPrinted>
  <dcterms:created xsi:type="dcterms:W3CDTF">2019-12-09T07:18:00Z</dcterms:created>
  <dcterms:modified xsi:type="dcterms:W3CDTF">2026-01-19T04:39:12Z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BC4A612D48B44A2CAE92D8EAEA2FBFE3_12</vt:lpwstr>
  </property>
  <property fmtid="{D5CDD505-2E9C-101B-9397-08002B2CF9AE}" pid="3" name="KSOProductBuildVer">
    <vt:lpwstr>1033-12.2.0.18607</vt:lpwstr>
  </property>
</Properties>
</file>