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O258" i="1" l="1"/>
  <c r="Q257" i="1"/>
  <c r="P257" i="1"/>
  <c r="M257" i="1"/>
  <c r="L257" i="1"/>
  <c r="K257" i="1"/>
  <c r="J257" i="1"/>
  <c r="I257" i="1"/>
  <c r="H257" i="1"/>
  <c r="G257" i="1"/>
  <c r="F257" i="1"/>
  <c r="E257" i="1"/>
  <c r="D256" i="1"/>
  <c r="P256" i="1" s="1"/>
  <c r="D255" i="1"/>
  <c r="P255" i="1" s="1"/>
  <c r="D254" i="1"/>
  <c r="P254" i="1" s="1"/>
  <c r="D253" i="1"/>
  <c r="P253" i="1" s="1"/>
  <c r="D252" i="1"/>
  <c r="P252" i="1" s="1"/>
  <c r="D251" i="1"/>
  <c r="P251" i="1" s="1"/>
  <c r="D250" i="1"/>
  <c r="P250" i="1" s="1"/>
  <c r="D249" i="1"/>
  <c r="P249" i="1" s="1"/>
  <c r="D248" i="1"/>
  <c r="P248" i="1" s="1"/>
  <c r="D247" i="1"/>
  <c r="P247" i="1" s="1"/>
  <c r="D246" i="1"/>
  <c r="P246" i="1" s="1"/>
  <c r="D245" i="1"/>
  <c r="P245" i="1" s="1"/>
  <c r="D244" i="1"/>
  <c r="P244" i="1" s="1"/>
  <c r="D243" i="1"/>
  <c r="P243" i="1" s="1"/>
  <c r="D242" i="1"/>
  <c r="P242" i="1" s="1"/>
  <c r="D241" i="1"/>
  <c r="P241" i="1" s="1"/>
  <c r="D240" i="1"/>
  <c r="P240" i="1" s="1"/>
  <c r="D239" i="1"/>
  <c r="P239" i="1" s="1"/>
  <c r="D238" i="1"/>
  <c r="P238" i="1" s="1"/>
  <c r="M237" i="1"/>
  <c r="K237" i="1"/>
  <c r="J237" i="1"/>
  <c r="I237" i="1"/>
  <c r="H237" i="1"/>
  <c r="G237" i="1"/>
  <c r="F237" i="1"/>
  <c r="E237" i="1"/>
  <c r="D237" i="1"/>
  <c r="L237" i="1" s="1"/>
  <c r="D236" i="1"/>
  <c r="P236" i="1" s="1"/>
  <c r="D235" i="1"/>
  <c r="P235" i="1" s="1"/>
  <c r="D234" i="1"/>
  <c r="P234" i="1" s="1"/>
  <c r="D233" i="1"/>
  <c r="P233" i="1" s="1"/>
  <c r="D232" i="1"/>
  <c r="P232" i="1" s="1"/>
  <c r="D231" i="1"/>
  <c r="P231" i="1" s="1"/>
  <c r="D230" i="1"/>
  <c r="P230" i="1" s="1"/>
  <c r="D229" i="1"/>
  <c r="P229" i="1" s="1"/>
  <c r="D228" i="1"/>
  <c r="P228" i="1" s="1"/>
  <c r="D227" i="1"/>
  <c r="P227" i="1" s="1"/>
  <c r="D226" i="1"/>
  <c r="P226" i="1" s="1"/>
  <c r="D225" i="1"/>
  <c r="P225" i="1" s="1"/>
  <c r="D224" i="1"/>
  <c r="P224" i="1" s="1"/>
  <c r="D223" i="1"/>
  <c r="P223" i="1" s="1"/>
  <c r="D222" i="1"/>
  <c r="P222" i="1" s="1"/>
  <c r="D221" i="1"/>
  <c r="P221" i="1" s="1"/>
  <c r="D220" i="1"/>
  <c r="P220" i="1" s="1"/>
  <c r="D219" i="1"/>
  <c r="P219" i="1" s="1"/>
  <c r="D218" i="1"/>
  <c r="P218" i="1" s="1"/>
  <c r="M217" i="1"/>
  <c r="K217" i="1"/>
  <c r="J217" i="1"/>
  <c r="I217" i="1"/>
  <c r="H217" i="1"/>
  <c r="G217" i="1"/>
  <c r="F217" i="1"/>
  <c r="E217" i="1"/>
  <c r="D217" i="1"/>
  <c r="L217" i="1" s="1"/>
  <c r="D216" i="1"/>
  <c r="P216" i="1" s="1"/>
  <c r="D215" i="1"/>
  <c r="P215" i="1" s="1"/>
  <c r="D214" i="1"/>
  <c r="P214" i="1" s="1"/>
  <c r="D213" i="1"/>
  <c r="P213" i="1" s="1"/>
  <c r="D212" i="1"/>
  <c r="P212" i="1" s="1"/>
  <c r="D211" i="1"/>
  <c r="P211" i="1" s="1"/>
  <c r="D210" i="1"/>
  <c r="P210" i="1" s="1"/>
  <c r="D209" i="1"/>
  <c r="P209" i="1" s="1"/>
  <c r="D208" i="1"/>
  <c r="P208" i="1" s="1"/>
  <c r="D207" i="1"/>
  <c r="P207" i="1" s="1"/>
  <c r="D206" i="1"/>
  <c r="P206" i="1" s="1"/>
  <c r="D205" i="1"/>
  <c r="P205" i="1" s="1"/>
  <c r="D204" i="1"/>
  <c r="P204" i="1" s="1"/>
  <c r="M203" i="1"/>
  <c r="K203" i="1"/>
  <c r="J203" i="1"/>
  <c r="I203" i="1"/>
  <c r="H203" i="1"/>
  <c r="G203" i="1"/>
  <c r="F203" i="1"/>
  <c r="E203" i="1"/>
  <c r="D203" i="1"/>
  <c r="L203" i="1" s="1"/>
  <c r="D202" i="1"/>
  <c r="P202" i="1" s="1"/>
  <c r="D201" i="1"/>
  <c r="P201" i="1" s="1"/>
  <c r="D200" i="1"/>
  <c r="P200" i="1" s="1"/>
  <c r="D199" i="1"/>
  <c r="P199" i="1" s="1"/>
  <c r="D198" i="1"/>
  <c r="P198" i="1" s="1"/>
  <c r="D197" i="1"/>
  <c r="P197" i="1" s="1"/>
  <c r="D196" i="1"/>
  <c r="P196" i="1" s="1"/>
  <c r="D195" i="1"/>
  <c r="P195" i="1" s="1"/>
  <c r="D194" i="1"/>
  <c r="P194" i="1" s="1"/>
  <c r="D193" i="1"/>
  <c r="P193" i="1" s="1"/>
  <c r="D192" i="1"/>
  <c r="P192" i="1" s="1"/>
  <c r="D191" i="1"/>
  <c r="P191" i="1" s="1"/>
  <c r="D190" i="1"/>
  <c r="P190" i="1" s="1"/>
  <c r="D189" i="1"/>
  <c r="P189" i="1" s="1"/>
  <c r="D188" i="1"/>
  <c r="P188" i="1" s="1"/>
  <c r="P187" i="1"/>
  <c r="Q187" i="1" s="1"/>
  <c r="M187" i="1"/>
  <c r="K187" i="1"/>
  <c r="J187" i="1"/>
  <c r="I187" i="1"/>
  <c r="H187" i="1"/>
  <c r="G187" i="1"/>
  <c r="F187" i="1"/>
  <c r="E187" i="1"/>
  <c r="D187" i="1"/>
  <c r="L187" i="1" s="1"/>
  <c r="D186" i="1"/>
  <c r="P186" i="1" s="1"/>
  <c r="D185" i="1"/>
  <c r="P185" i="1" s="1"/>
  <c r="D184" i="1"/>
  <c r="P184" i="1" s="1"/>
  <c r="D183" i="1"/>
  <c r="P183" i="1" s="1"/>
  <c r="D182" i="1"/>
  <c r="P182" i="1" s="1"/>
  <c r="D181" i="1"/>
  <c r="P181" i="1" s="1"/>
  <c r="D180" i="1"/>
  <c r="P180" i="1" s="1"/>
  <c r="D179" i="1"/>
  <c r="P179" i="1" s="1"/>
  <c r="D178" i="1"/>
  <c r="P178" i="1" s="1"/>
  <c r="D177" i="1"/>
  <c r="P177" i="1" s="1"/>
  <c r="D176" i="1"/>
  <c r="P176" i="1" s="1"/>
  <c r="M175" i="1"/>
  <c r="K175" i="1"/>
  <c r="J175" i="1"/>
  <c r="I175" i="1"/>
  <c r="H175" i="1"/>
  <c r="G175" i="1"/>
  <c r="F175" i="1"/>
  <c r="E175" i="1"/>
  <c r="D175" i="1"/>
  <c r="L175" i="1" s="1"/>
  <c r="D174" i="1"/>
  <c r="P174" i="1" s="1"/>
  <c r="D173" i="1"/>
  <c r="P173" i="1" s="1"/>
  <c r="D172" i="1"/>
  <c r="P172" i="1" s="1"/>
  <c r="D171" i="1"/>
  <c r="P171" i="1" s="1"/>
  <c r="D170" i="1"/>
  <c r="P170" i="1" s="1"/>
  <c r="D169" i="1"/>
  <c r="P169" i="1" s="1"/>
  <c r="D168" i="1"/>
  <c r="P168" i="1" s="1"/>
  <c r="D167" i="1"/>
  <c r="P167" i="1" s="1"/>
  <c r="D166" i="1"/>
  <c r="P166" i="1" s="1"/>
  <c r="D165" i="1"/>
  <c r="P165" i="1" s="1"/>
  <c r="D164" i="1"/>
  <c r="P164" i="1" s="1"/>
  <c r="D163" i="1"/>
  <c r="P163" i="1" s="1"/>
  <c r="D162" i="1"/>
  <c r="P162" i="1" s="1"/>
  <c r="D161" i="1"/>
  <c r="P161" i="1" s="1"/>
  <c r="D160" i="1"/>
  <c r="P160" i="1" s="1"/>
  <c r="D159" i="1"/>
  <c r="P159" i="1" s="1"/>
  <c r="D158" i="1"/>
  <c r="P158" i="1" s="1"/>
  <c r="D157" i="1"/>
  <c r="P157" i="1" s="1"/>
  <c r="D156" i="1"/>
  <c r="P156" i="1" s="1"/>
  <c r="P155" i="1"/>
  <c r="M155" i="1"/>
  <c r="K155" i="1"/>
  <c r="J155" i="1"/>
  <c r="I155" i="1"/>
  <c r="H155" i="1"/>
  <c r="G155" i="1"/>
  <c r="F155" i="1"/>
  <c r="E155" i="1"/>
  <c r="D155" i="1"/>
  <c r="L155" i="1" s="1"/>
  <c r="D154" i="1"/>
  <c r="P154" i="1" s="1"/>
  <c r="D153" i="1"/>
  <c r="P153" i="1" s="1"/>
  <c r="D152" i="1"/>
  <c r="P152" i="1" s="1"/>
  <c r="D151" i="1"/>
  <c r="P151" i="1" s="1"/>
  <c r="D150" i="1"/>
  <c r="P150" i="1" s="1"/>
  <c r="D149" i="1"/>
  <c r="P149" i="1" s="1"/>
  <c r="D148" i="1"/>
  <c r="P148" i="1" s="1"/>
  <c r="D147" i="1"/>
  <c r="P147" i="1" s="1"/>
  <c r="D146" i="1"/>
  <c r="P146" i="1" s="1"/>
  <c r="D145" i="1"/>
  <c r="P145" i="1" s="1"/>
  <c r="D144" i="1"/>
  <c r="P144" i="1" s="1"/>
  <c r="D143" i="1"/>
  <c r="P143" i="1" s="1"/>
  <c r="D142" i="1"/>
  <c r="P142" i="1" s="1"/>
  <c r="D141" i="1"/>
  <c r="P141" i="1" s="1"/>
  <c r="D140" i="1"/>
  <c r="P140" i="1" s="1"/>
  <c r="D139" i="1"/>
  <c r="P139" i="1" s="1"/>
  <c r="D138" i="1"/>
  <c r="P138" i="1" s="1"/>
  <c r="D137" i="1"/>
  <c r="P137" i="1" s="1"/>
  <c r="D136" i="1"/>
  <c r="P136" i="1" s="1"/>
  <c r="D135" i="1"/>
  <c r="P135" i="1" s="1"/>
  <c r="M134" i="1"/>
  <c r="K134" i="1"/>
  <c r="J134" i="1"/>
  <c r="I134" i="1"/>
  <c r="H134" i="1"/>
  <c r="G134" i="1"/>
  <c r="F134" i="1"/>
  <c r="E134" i="1"/>
  <c r="D134" i="1"/>
  <c r="P134" i="1" s="1"/>
  <c r="Q134" i="1" s="1"/>
  <c r="D133" i="1"/>
  <c r="P133" i="1" s="1"/>
  <c r="D132" i="1"/>
  <c r="P132" i="1" s="1"/>
  <c r="D131" i="1"/>
  <c r="P131" i="1" s="1"/>
  <c r="D130" i="1"/>
  <c r="P130" i="1" s="1"/>
  <c r="D129" i="1"/>
  <c r="P129" i="1" s="1"/>
  <c r="D128" i="1"/>
  <c r="P128" i="1" s="1"/>
  <c r="P127" i="1"/>
  <c r="D127" i="1"/>
  <c r="D126" i="1"/>
  <c r="P126" i="1" s="1"/>
  <c r="D125" i="1"/>
  <c r="P125" i="1" s="1"/>
  <c r="D124" i="1"/>
  <c r="P124" i="1" s="1"/>
  <c r="D123" i="1"/>
  <c r="P123" i="1" s="1"/>
  <c r="D122" i="1"/>
  <c r="P122" i="1" s="1"/>
  <c r="D121" i="1"/>
  <c r="P121" i="1" s="1"/>
  <c r="D120" i="1"/>
  <c r="P120" i="1" s="1"/>
  <c r="P119" i="1"/>
  <c r="D119" i="1"/>
  <c r="D118" i="1"/>
  <c r="P118" i="1" s="1"/>
  <c r="D117" i="1"/>
  <c r="P117" i="1" s="1"/>
  <c r="D116" i="1"/>
  <c r="P116" i="1" s="1"/>
  <c r="P115" i="1"/>
  <c r="M115" i="1"/>
  <c r="K115" i="1"/>
  <c r="J115" i="1"/>
  <c r="I115" i="1"/>
  <c r="H115" i="1"/>
  <c r="G115" i="1"/>
  <c r="F115" i="1"/>
  <c r="E115" i="1"/>
  <c r="D115" i="1"/>
  <c r="L115" i="1" s="1"/>
  <c r="D114" i="1"/>
  <c r="P114" i="1" s="1"/>
  <c r="D113" i="1"/>
  <c r="P113" i="1" s="1"/>
  <c r="D112" i="1"/>
  <c r="P112" i="1" s="1"/>
  <c r="D111" i="1"/>
  <c r="P111" i="1" s="1"/>
  <c r="P110" i="1"/>
  <c r="D110" i="1"/>
  <c r="D109" i="1"/>
  <c r="P109" i="1" s="1"/>
  <c r="D108" i="1"/>
  <c r="P108" i="1" s="1"/>
  <c r="D107" i="1"/>
  <c r="P107" i="1" s="1"/>
  <c r="D106" i="1"/>
  <c r="P106" i="1" s="1"/>
  <c r="D105" i="1"/>
  <c r="P105" i="1" s="1"/>
  <c r="D104" i="1"/>
  <c r="P104" i="1" s="1"/>
  <c r="D103" i="1"/>
  <c r="P103" i="1" s="1"/>
  <c r="P102" i="1"/>
  <c r="D102" i="1"/>
  <c r="D101" i="1"/>
  <c r="P101" i="1" s="1"/>
  <c r="P100" i="1"/>
  <c r="M100" i="1"/>
  <c r="K100" i="1"/>
  <c r="J100" i="1"/>
  <c r="I100" i="1"/>
  <c r="H100" i="1"/>
  <c r="G100" i="1"/>
  <c r="F100" i="1"/>
  <c r="E100" i="1"/>
  <c r="D100" i="1"/>
  <c r="L100" i="1" s="1"/>
  <c r="D99" i="1"/>
  <c r="P99" i="1" s="1"/>
  <c r="D98" i="1"/>
  <c r="P98" i="1" s="1"/>
  <c r="D97" i="1"/>
  <c r="P97" i="1" s="1"/>
  <c r="D96" i="1"/>
  <c r="P96" i="1" s="1"/>
  <c r="D95" i="1"/>
  <c r="P95" i="1" s="1"/>
  <c r="D94" i="1"/>
  <c r="P94" i="1" s="1"/>
  <c r="P93" i="1"/>
  <c r="D93" i="1"/>
  <c r="D92" i="1"/>
  <c r="P92" i="1" s="1"/>
  <c r="D91" i="1"/>
  <c r="P91" i="1" s="1"/>
  <c r="D90" i="1"/>
  <c r="P90" i="1" s="1"/>
  <c r="D89" i="1"/>
  <c r="P89" i="1" s="1"/>
  <c r="D88" i="1"/>
  <c r="P88" i="1" s="1"/>
  <c r="D87" i="1"/>
  <c r="P87" i="1" s="1"/>
  <c r="D86" i="1"/>
  <c r="P86" i="1" s="1"/>
  <c r="D85" i="1"/>
  <c r="P85" i="1" s="1"/>
  <c r="D84" i="1"/>
  <c r="P84" i="1" s="1"/>
  <c r="M83" i="1"/>
  <c r="K83" i="1"/>
  <c r="J83" i="1"/>
  <c r="I83" i="1"/>
  <c r="H83" i="1"/>
  <c r="G83" i="1"/>
  <c r="F83" i="1"/>
  <c r="E83" i="1"/>
  <c r="D83" i="1"/>
  <c r="L83" i="1" s="1"/>
  <c r="D82" i="1"/>
  <c r="P82" i="1" s="1"/>
  <c r="D81" i="1"/>
  <c r="P81" i="1" s="1"/>
  <c r="D80" i="1"/>
  <c r="P80" i="1" s="1"/>
  <c r="D79" i="1"/>
  <c r="P79" i="1" s="1"/>
  <c r="D78" i="1"/>
  <c r="P78" i="1" s="1"/>
  <c r="D77" i="1"/>
  <c r="P77" i="1" s="1"/>
  <c r="D76" i="1"/>
  <c r="P76" i="1" s="1"/>
  <c r="D75" i="1"/>
  <c r="P75" i="1" s="1"/>
  <c r="D74" i="1"/>
  <c r="P74" i="1" s="1"/>
  <c r="D73" i="1"/>
  <c r="P73" i="1" s="1"/>
  <c r="D72" i="1"/>
  <c r="P72" i="1" s="1"/>
  <c r="D71" i="1"/>
  <c r="P71" i="1" s="1"/>
  <c r="D70" i="1"/>
  <c r="P70" i="1" s="1"/>
  <c r="D69" i="1"/>
  <c r="P69" i="1" s="1"/>
  <c r="D68" i="1"/>
  <c r="P68" i="1" s="1"/>
  <c r="D67" i="1"/>
  <c r="P67" i="1" s="1"/>
  <c r="D66" i="1"/>
  <c r="P66" i="1" s="1"/>
  <c r="P65" i="1"/>
  <c r="M65" i="1"/>
  <c r="K65" i="1"/>
  <c r="J65" i="1"/>
  <c r="I65" i="1"/>
  <c r="H65" i="1"/>
  <c r="G65" i="1"/>
  <c r="F65" i="1"/>
  <c r="E65" i="1"/>
  <c r="D65" i="1"/>
  <c r="L65" i="1" s="1"/>
  <c r="D64" i="1"/>
  <c r="P64" i="1" s="1"/>
  <c r="D63" i="1"/>
  <c r="P63" i="1" s="1"/>
  <c r="D62" i="1"/>
  <c r="P62" i="1" s="1"/>
  <c r="D61" i="1"/>
  <c r="P61" i="1" s="1"/>
  <c r="D60" i="1"/>
  <c r="P60" i="1" s="1"/>
  <c r="D59" i="1"/>
  <c r="P59" i="1" s="1"/>
  <c r="D58" i="1"/>
  <c r="P58" i="1" s="1"/>
  <c r="D57" i="1"/>
  <c r="P57" i="1" s="1"/>
  <c r="D56" i="1"/>
  <c r="P56" i="1" s="1"/>
  <c r="D55" i="1"/>
  <c r="P55" i="1" s="1"/>
  <c r="D54" i="1"/>
  <c r="P54" i="1" s="1"/>
  <c r="D53" i="1"/>
  <c r="P53" i="1" s="1"/>
  <c r="D52" i="1"/>
  <c r="P52" i="1" s="1"/>
  <c r="D51" i="1"/>
  <c r="P51" i="1" s="1"/>
  <c r="D50" i="1"/>
  <c r="P50" i="1" s="1"/>
  <c r="D49" i="1"/>
  <c r="P49" i="1" s="1"/>
  <c r="D48" i="1"/>
  <c r="P48" i="1" s="1"/>
  <c r="D47" i="1"/>
  <c r="P47" i="1" s="1"/>
  <c r="D46" i="1"/>
  <c r="P46" i="1" s="1"/>
  <c r="D45" i="1"/>
  <c r="P45" i="1" s="1"/>
  <c r="P44" i="1"/>
  <c r="Q44" i="1" s="1"/>
  <c r="M44" i="1"/>
  <c r="K44" i="1"/>
  <c r="J44" i="1"/>
  <c r="I44" i="1"/>
  <c r="H44" i="1"/>
  <c r="G44" i="1"/>
  <c r="F44" i="1"/>
  <c r="E44" i="1"/>
  <c r="D44" i="1"/>
  <c r="L44" i="1" s="1"/>
  <c r="D43" i="1"/>
  <c r="P43" i="1" s="1"/>
  <c r="D42" i="1"/>
  <c r="P42" i="1" s="1"/>
  <c r="D41" i="1"/>
  <c r="P41" i="1" s="1"/>
  <c r="D40" i="1"/>
  <c r="P40" i="1" s="1"/>
  <c r="D39" i="1"/>
  <c r="P39" i="1" s="1"/>
  <c r="D38" i="1"/>
  <c r="P38" i="1" s="1"/>
  <c r="D37" i="1"/>
  <c r="P37" i="1" s="1"/>
  <c r="D36" i="1"/>
  <c r="P36" i="1" s="1"/>
  <c r="D35" i="1"/>
  <c r="P35" i="1" s="1"/>
  <c r="D34" i="1"/>
  <c r="P34" i="1" s="1"/>
  <c r="D33" i="1"/>
  <c r="P33" i="1" s="1"/>
  <c r="D32" i="1"/>
  <c r="P32" i="1" s="1"/>
  <c r="D31" i="1"/>
  <c r="P31" i="1" s="1"/>
  <c r="D30" i="1"/>
  <c r="P30" i="1" s="1"/>
  <c r="D29" i="1"/>
  <c r="P29" i="1" s="1"/>
  <c r="D28" i="1"/>
  <c r="P28" i="1" s="1"/>
  <c r="P27" i="1"/>
  <c r="M27" i="1"/>
  <c r="K27" i="1"/>
  <c r="J27" i="1"/>
  <c r="I27" i="1"/>
  <c r="H27" i="1"/>
  <c r="G27" i="1"/>
  <c r="F27" i="1"/>
  <c r="E27" i="1"/>
  <c r="D27" i="1"/>
  <c r="L27" i="1" s="1"/>
  <c r="D26" i="1"/>
  <c r="P26" i="1" s="1"/>
  <c r="D25" i="1"/>
  <c r="P25" i="1" s="1"/>
  <c r="D24" i="1"/>
  <c r="P24" i="1" s="1"/>
  <c r="D23" i="1"/>
  <c r="P23" i="1" s="1"/>
  <c r="D22" i="1"/>
  <c r="P22" i="1" s="1"/>
  <c r="D21" i="1"/>
  <c r="P21" i="1" s="1"/>
  <c r="D20" i="1"/>
  <c r="P20" i="1" s="1"/>
  <c r="D19" i="1"/>
  <c r="P19" i="1" s="1"/>
  <c r="D18" i="1"/>
  <c r="P18" i="1" s="1"/>
  <c r="D17" i="1"/>
  <c r="P17" i="1" s="1"/>
  <c r="D16" i="1"/>
  <c r="P16" i="1" s="1"/>
  <c r="D15" i="1"/>
  <c r="P15" i="1" s="1"/>
  <c r="D14" i="1"/>
  <c r="P14" i="1" s="1"/>
  <c r="D13" i="1"/>
  <c r="P13" i="1" s="1"/>
  <c r="D12" i="1"/>
  <c r="P12" i="1" s="1"/>
  <c r="D11" i="1"/>
  <c r="P11" i="1" s="1"/>
  <c r="D10" i="1"/>
  <c r="P10" i="1" s="1"/>
  <c r="D9" i="1"/>
  <c r="P9" i="1" s="1"/>
  <c r="P8" i="1"/>
  <c r="M8" i="1"/>
  <c r="M258" i="1" s="1"/>
  <c r="K8" i="1"/>
  <c r="K258" i="1" s="1"/>
  <c r="J8" i="1"/>
  <c r="J258" i="1" s="1"/>
  <c r="I8" i="1"/>
  <c r="I258" i="1" s="1"/>
  <c r="H8" i="1"/>
  <c r="H258" i="1" s="1"/>
  <c r="G8" i="1"/>
  <c r="G258" i="1" s="1"/>
  <c r="F8" i="1"/>
  <c r="F258" i="1" s="1"/>
  <c r="E8" i="1"/>
  <c r="E258" i="1" s="1"/>
  <c r="D8" i="1"/>
  <c r="Q8" i="1" l="1"/>
  <c r="Q258" i="1" s="1"/>
  <c r="Q27" i="1"/>
  <c r="Q65" i="1"/>
  <c r="Q100" i="1"/>
  <c r="Q115" i="1"/>
  <c r="P83" i="1"/>
  <c r="Q83" i="1" s="1"/>
  <c r="P175" i="1"/>
  <c r="Q175" i="1" s="1"/>
  <c r="P203" i="1"/>
  <c r="Q203" i="1" s="1"/>
  <c r="P217" i="1"/>
  <c r="Q217" i="1" s="1"/>
  <c r="L134" i="1"/>
  <c r="Q155" i="1"/>
  <c r="D258" i="1"/>
  <c r="L8" i="1"/>
  <c r="L258" i="1" s="1"/>
  <c r="P237" i="1"/>
  <c r="Q237" i="1" s="1"/>
  <c r="P258" i="1" l="1"/>
</calcChain>
</file>

<file path=xl/sharedStrings.xml><?xml version="1.0" encoding="utf-8"?>
<sst xmlns="http://schemas.openxmlformats.org/spreadsheetml/2006/main" count="627" uniqueCount="306">
  <si>
    <t>REKAPITULASI DATA SUSPEK</t>
  </si>
  <si>
    <t>TGL :</t>
  </si>
  <si>
    <t>18 JUNI 2022</t>
  </si>
  <si>
    <t>NO</t>
  </si>
  <si>
    <t>KECAMATAN</t>
  </si>
  <si>
    <t xml:space="preserve"> DESA</t>
  </si>
  <si>
    <t>SUSPEK</t>
  </si>
  <si>
    <t>PDP</t>
  </si>
  <si>
    <t>ODP</t>
  </si>
  <si>
    <t>KONFIRMASI YANG DI RARAT D DEMAK</t>
  </si>
  <si>
    <t>KONFIRMASI  YANG DI TEMUKAN DI DEMAK</t>
  </si>
  <si>
    <t>TERKONFIRMASI YANG DI RAWAT DI LUAR DEMAK</t>
  </si>
  <si>
    <t>MENINGGAL</t>
  </si>
  <si>
    <t>SEMBUH LUAR DAERAH</t>
  </si>
  <si>
    <t>SEMBUH DALAM DAERAH</t>
  </si>
  <si>
    <t>OTG</t>
  </si>
  <si>
    <t>TOTAL KECAMATAN</t>
  </si>
  <si>
    <t>Mranggen</t>
  </si>
  <si>
    <t>Kembangarum</t>
  </si>
  <si>
    <t>Kangkung</t>
  </si>
  <si>
    <t>Kalitengah</t>
  </si>
  <si>
    <t>Brumbung</t>
  </si>
  <si>
    <t>Sumberejo</t>
  </si>
  <si>
    <t>Bandungrejo</t>
  </si>
  <si>
    <t>Menur</t>
  </si>
  <si>
    <t>Ringinjajar</t>
  </si>
  <si>
    <t>Candisari</t>
  </si>
  <si>
    <t>Ngemplak</t>
  </si>
  <si>
    <t>Karangsono</t>
  </si>
  <si>
    <t>Jamus</t>
  </si>
  <si>
    <t>Waru</t>
  </si>
  <si>
    <t>Tegalarum</t>
  </si>
  <si>
    <t>Tamansari</t>
  </si>
  <si>
    <t>By.meneng</t>
  </si>
  <si>
    <t>Kebonbatur</t>
  </si>
  <si>
    <t>Batursari</t>
  </si>
  <si>
    <t>Karangtengah</t>
  </si>
  <si>
    <t>Wonowoso</t>
  </si>
  <si>
    <t>Sampang</t>
  </si>
  <si>
    <t>Tambakbulusan</t>
  </si>
  <si>
    <t>Pulosari</t>
  </si>
  <si>
    <t>Rejosari</t>
  </si>
  <si>
    <t>Ploso</t>
  </si>
  <si>
    <t>Wonokerto</t>
  </si>
  <si>
    <t>Karangsari</t>
  </si>
  <si>
    <t>Batu</t>
  </si>
  <si>
    <t>Donorejo</t>
  </si>
  <si>
    <t>Kedunguter</t>
  </si>
  <si>
    <t>Karangtowo</t>
  </si>
  <si>
    <t>Wonoagung</t>
  </si>
  <si>
    <t>Klitih</t>
  </si>
  <si>
    <t>Grogol</t>
  </si>
  <si>
    <t>Pidodo</t>
  </si>
  <si>
    <t>Dukun</t>
  </si>
  <si>
    <t>Wonosalam</t>
  </si>
  <si>
    <t>Botorejo</t>
  </si>
  <si>
    <t>Getas</t>
  </si>
  <si>
    <t>Kuncir</t>
  </si>
  <si>
    <t>Trengguli</t>
  </si>
  <si>
    <t>Mranak</t>
  </si>
  <si>
    <t>Pilangrejo</t>
  </si>
  <si>
    <t>Kerangkulon</t>
  </si>
  <si>
    <t>Sidomulyo</t>
  </si>
  <si>
    <t>Bunderan</t>
  </si>
  <si>
    <t>Mojo demak</t>
  </si>
  <si>
    <t>Mrisen</t>
  </si>
  <si>
    <t>Doreng</t>
  </si>
  <si>
    <t>Karangrowo</t>
  </si>
  <si>
    <t>Kalianyar</t>
  </si>
  <si>
    <t>Tlogorejo</t>
  </si>
  <si>
    <t>Tlogodowo</t>
  </si>
  <si>
    <t>Lempuyang</t>
  </si>
  <si>
    <t>Karangrejo</t>
  </si>
  <si>
    <t>Kendaldoyong</t>
  </si>
  <si>
    <t>Jogoloyo</t>
  </si>
  <si>
    <t>Gajah</t>
  </si>
  <si>
    <t>Kedondong</t>
  </si>
  <si>
    <t>Banjarsari</t>
  </si>
  <si>
    <t>Sari</t>
  </si>
  <si>
    <t>Boyolali</t>
  </si>
  <si>
    <t>Jatisono</t>
  </si>
  <si>
    <t>Sambiroto</t>
  </si>
  <si>
    <t>Tlg.pandogan</t>
  </si>
  <si>
    <t>Surodadi</t>
  </si>
  <si>
    <t>Gedangalas</t>
  </si>
  <si>
    <t>Sambung</t>
  </si>
  <si>
    <t>Tambirejo</t>
  </si>
  <si>
    <t>Mlatiharjo</t>
  </si>
  <si>
    <t>Mojosimo</t>
  </si>
  <si>
    <t>Medini</t>
  </si>
  <si>
    <t>Wilalung</t>
  </si>
  <si>
    <t>Tanjunganyar</t>
  </si>
  <si>
    <t>Mlekang</t>
  </si>
  <si>
    <t>Karanganyar</t>
  </si>
  <si>
    <t>Cangkring B</t>
  </si>
  <si>
    <t>Undaan Lor</t>
  </si>
  <si>
    <t>Undaan Kdl</t>
  </si>
  <si>
    <t>Ketanjung</t>
  </si>
  <si>
    <t>Cangkring Rembang</t>
  </si>
  <si>
    <t>Tuang</t>
  </si>
  <si>
    <t>Wonorejo</t>
  </si>
  <si>
    <t>Ngemplik Wetan</t>
  </si>
  <si>
    <t>Ngaluran</t>
  </si>
  <si>
    <t>Kd waru Kdl</t>
  </si>
  <si>
    <t>Kd waru Lor</t>
  </si>
  <si>
    <t>Tugu Lor</t>
  </si>
  <si>
    <t>Kotakan</t>
  </si>
  <si>
    <t>Wonoketingal</t>
  </si>
  <si>
    <t>Jatirejo</t>
  </si>
  <si>
    <t>Mjen</t>
  </si>
  <si>
    <t>Mijen</t>
  </si>
  <si>
    <t>Geneng</t>
  </si>
  <si>
    <t>Tanggul</t>
  </si>
  <si>
    <t>Banteng mati</t>
  </si>
  <si>
    <t>Mlaten</t>
  </si>
  <si>
    <t>Bermi</t>
  </si>
  <si>
    <t>Gempol songo</t>
  </si>
  <si>
    <t>Ngelowetan</t>
  </si>
  <si>
    <t>Bakung</t>
  </si>
  <si>
    <t>Pasir</t>
  </si>
  <si>
    <t>Jleper</t>
  </si>
  <si>
    <t>Ngegot</t>
  </si>
  <si>
    <t>Pecuk</t>
  </si>
  <si>
    <t>Ngelo Kulon</t>
  </si>
  <si>
    <t>Demak</t>
  </si>
  <si>
    <t>Betokan</t>
  </si>
  <si>
    <t>Kalicilik</t>
  </si>
  <si>
    <t>Kadilangu</t>
  </si>
  <si>
    <t>Singorejo</t>
  </si>
  <si>
    <t>Karangmlati</t>
  </si>
  <si>
    <t>Bintoro</t>
  </si>
  <si>
    <t>Turirejo</t>
  </si>
  <si>
    <t>Bango</t>
  </si>
  <si>
    <t>Raji</t>
  </si>
  <si>
    <t>Mulyorejo</t>
  </si>
  <si>
    <t>Sedo</t>
  </si>
  <si>
    <t>Bolo</t>
  </si>
  <si>
    <t>Katonsari</t>
  </si>
  <si>
    <t>Kalikondang</t>
  </si>
  <si>
    <t>Cabean</t>
  </si>
  <si>
    <t>Tempuran</t>
  </si>
  <si>
    <t>Donorojo</t>
  </si>
  <si>
    <t>Mangunjiwan</t>
  </si>
  <si>
    <t>Bonang</t>
  </si>
  <si>
    <t>Morodemak</t>
  </si>
  <si>
    <t>Purworejo</t>
  </si>
  <si>
    <t>Gebangarum</t>
  </si>
  <si>
    <t>Gebang</t>
  </si>
  <si>
    <t>Kembangan</t>
  </si>
  <si>
    <t>Sukodono</t>
  </si>
  <si>
    <t>Tlogoboyo</t>
  </si>
  <si>
    <t>Margolinduk</t>
  </si>
  <si>
    <t>Tridonorejo</t>
  </si>
  <si>
    <t>Wonosari</t>
  </si>
  <si>
    <t>Jatirogo</t>
  </si>
  <si>
    <t>Poncoharjo</t>
  </si>
  <si>
    <t>Jali</t>
  </si>
  <si>
    <t>Krajanboga</t>
  </si>
  <si>
    <t>Serangan</t>
  </si>
  <si>
    <t>Betahwalang</t>
  </si>
  <si>
    <t>Jatimulyo</t>
  </si>
  <si>
    <t>Weding</t>
  </si>
  <si>
    <t>Bonangrejo</t>
  </si>
  <si>
    <t xml:space="preserve">Guntur </t>
  </si>
  <si>
    <t>Temuroso</t>
  </si>
  <si>
    <t>Turitempel</t>
  </si>
  <si>
    <t>Tlogoweru</t>
  </si>
  <si>
    <t>Trimulyo</t>
  </si>
  <si>
    <t>Bakalrejo</t>
  </si>
  <si>
    <t>Bumiharjo</t>
  </si>
  <si>
    <t>Sidoharjo</t>
  </si>
  <si>
    <t>Bogosari</t>
  </si>
  <si>
    <t>Guntur</t>
  </si>
  <si>
    <t>Blerong</t>
  </si>
  <si>
    <t>Pamongan</t>
  </si>
  <si>
    <t>Sukorejo</t>
  </si>
  <si>
    <t>Sarirejo</t>
  </si>
  <si>
    <t>Sidokumpul</t>
  </si>
  <si>
    <t>Gaji</t>
  </si>
  <si>
    <t>Banjarejo</t>
  </si>
  <si>
    <t>Krandon</t>
  </si>
  <si>
    <t>Tangkis</t>
  </si>
  <si>
    <t>Karangawen</t>
  </si>
  <si>
    <t>Bumirejo</t>
  </si>
  <si>
    <t>Pundenarum</t>
  </si>
  <si>
    <t>Kuripan</t>
  </si>
  <si>
    <t>Brambang</t>
  </si>
  <si>
    <t>Sidorejo</t>
  </si>
  <si>
    <t>Wonosekar</t>
  </si>
  <si>
    <t>Teluk</t>
  </si>
  <si>
    <t>Margohayu</t>
  </si>
  <si>
    <t>Jragung</t>
  </si>
  <si>
    <t>Dempet</t>
  </si>
  <si>
    <t>Harjowinangun</t>
  </si>
  <si>
    <t>Brakas</t>
  </si>
  <si>
    <t>Gempoldenok</t>
  </si>
  <si>
    <t>Botosengon</t>
  </si>
  <si>
    <t>Merak</t>
  </si>
  <si>
    <t>Kebonsari</t>
  </si>
  <si>
    <t>Balerejo</t>
  </si>
  <si>
    <t>Baleromo</t>
  </si>
  <si>
    <t>Jeruk gulung</t>
  </si>
  <si>
    <t>Kunir</t>
  </si>
  <si>
    <t>Kedungori</t>
  </si>
  <si>
    <t>Kuwu</t>
  </si>
  <si>
    <t>Kramat</t>
  </si>
  <si>
    <t>Kebonagung</t>
  </si>
  <si>
    <t>Mangunrejo</t>
  </si>
  <si>
    <t>Tlogosih</t>
  </si>
  <si>
    <t>Megonten</t>
  </si>
  <si>
    <t>Sokokidul</t>
  </si>
  <si>
    <t>Pilangwetan</t>
  </si>
  <si>
    <t>Klampok Lor</t>
  </si>
  <si>
    <t>Werdoyo</t>
  </si>
  <si>
    <t>Babat</t>
  </si>
  <si>
    <t>Prigi</t>
  </si>
  <si>
    <t>Sarimulyo</t>
  </si>
  <si>
    <t>Solowire</t>
  </si>
  <si>
    <t>Mangunan Lor</t>
  </si>
  <si>
    <t xml:space="preserve">Sayung </t>
  </si>
  <si>
    <t>Bedono</t>
  </si>
  <si>
    <t>GEMULAK</t>
  </si>
  <si>
    <t>Gemulak</t>
  </si>
  <si>
    <t>,</t>
  </si>
  <si>
    <t>SRIWULAN</t>
  </si>
  <si>
    <t>Sriwulan</t>
  </si>
  <si>
    <t>KALISARI</t>
  </si>
  <si>
    <t>Tugu</t>
  </si>
  <si>
    <t>PRAMPELAN</t>
  </si>
  <si>
    <t>Purwosari</t>
  </si>
  <si>
    <t>PURWOSARI</t>
  </si>
  <si>
    <t>LOIRENG</t>
  </si>
  <si>
    <t>Timbulsloko</t>
  </si>
  <si>
    <t>JETAKSARI</t>
  </si>
  <si>
    <t>Sidogemah</t>
  </si>
  <si>
    <t>SIDOGEMAH</t>
  </si>
  <si>
    <t>Tambakroto</t>
  </si>
  <si>
    <t xml:space="preserve">Kalisari </t>
  </si>
  <si>
    <t>Dombo</t>
  </si>
  <si>
    <t>Bulusari</t>
  </si>
  <si>
    <t>Jetaksari</t>
  </si>
  <si>
    <t>Karangasem</t>
  </si>
  <si>
    <t>Prampelan</t>
  </si>
  <si>
    <t>Sayung</t>
  </si>
  <si>
    <t>Pilangsari</t>
  </si>
  <si>
    <t>loireng</t>
  </si>
  <si>
    <t>Wedung</t>
  </si>
  <si>
    <t>Ruwit</t>
  </si>
  <si>
    <t>Bungo</t>
  </si>
  <si>
    <t>Ngawen</t>
  </si>
  <si>
    <t>Kenduren</t>
  </si>
  <si>
    <t>Buko</t>
  </si>
  <si>
    <t>Mandung</t>
  </si>
  <si>
    <t>Berahan Wtn</t>
  </si>
  <si>
    <t>Berahan Kln</t>
  </si>
  <si>
    <t>Tempel</t>
  </si>
  <si>
    <t>Kedungkarang</t>
  </si>
  <si>
    <t>KedungMutih</t>
  </si>
  <si>
    <t>Jungsemi</t>
  </si>
  <si>
    <t>Jetak</t>
  </si>
  <si>
    <t>Jungpasir</t>
  </si>
  <si>
    <t>Mutih kulon</t>
  </si>
  <si>
    <t>Mutih Wetan</t>
  </si>
  <si>
    <t>Kendalasem</t>
  </si>
  <si>
    <t>Babalan</t>
  </si>
  <si>
    <t>Tedunan</t>
  </si>
  <si>
    <t>LUAR WILAYAH</t>
  </si>
  <si>
    <t>JUMLAH</t>
  </si>
  <si>
    <t>DATA DESA ENDEMIS /SPORADIS DBD</t>
  </si>
  <si>
    <t>DESA</t>
  </si>
  <si>
    <t>1</t>
  </si>
  <si>
    <t xml:space="preserve">Kembangarum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</si>
  <si>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</si>
  <si>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</si>
  <si>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</si>
  <si>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</si>
  <si>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</si>
  <si>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</si>
  <si>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</si>
  <si>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</si>
  <si>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</si>
  <si>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</si>
  <si>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</si>
  <si>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</si>
  <si>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</si>
  <si>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Cangkring R</t>
  </si>
  <si>
    <t>15</t>
  </si>
  <si>
    <t>Tuwang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</si>
  <si>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</si>
  <si>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</si>
  <si>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</si>
  <si>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</si>
  <si>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</si>
  <si>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</si>
  <si>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</si>
  <si>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</si>
  <si>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</si>
  <si>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</si>
  <si>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</si>
  <si>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</si>
  <si>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</si>
  <si>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</si>
  <si>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</si>
  <si>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</si>
  <si>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 xml:space="preserve">DATA DESA DG PETUGAS PPJ </t>
  </si>
  <si>
    <t xml:space="preserve">Jatirogo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</si>
</sst>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0" fillId="2" borderId="0" xfId="0" applyFill="1"/>
    <xf numFmtId="0" fontId="2" fillId="0" borderId="0" xfId="0" applyFont="1" applyAlignment="1"/>
    <xf numFmtId="0" fontId="2" fillId="0" borderId="0" xfId="0" applyFont="1" applyFill="1" applyAlignment="1"/>
    <xf numFmtId="0" fontId="0" fillId="0" borderId="1" xfId="0" applyBorder="1" applyAlignment="1"/>
    <xf numFmtId="49" fontId="0" fillId="0" borderId="1" xfId="0" applyNumberFormat="1" applyBorder="1" applyAlignment="1"/>
    <xf numFmtId="0" fontId="0" fillId="0" borderId="0" xfId="0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justify" wrapText="1"/>
    </xf>
    <xf numFmtId="0" fontId="0" fillId="0" borderId="3" xfId="0" applyBorder="1" applyAlignment="1">
      <alignment horizontal="left" vertical="justify"/>
    </xf>
    <xf numFmtId="0" fontId="0" fillId="0" borderId="3" xfId="0" applyFill="1" applyBorder="1"/>
    <xf numFmtId="0" fontId="3" fillId="0" borderId="3" xfId="0" applyFont="1" applyFill="1" applyBorder="1" applyAlignment="1">
      <alignment horizontal="center" vertical="center"/>
    </xf>
    <xf numFmtId="0" fontId="0" fillId="0" borderId="6" xfId="0" applyBorder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/>
    <xf numFmtId="0" fontId="4" fillId="2" borderId="3" xfId="0" applyFont="1" applyFill="1" applyBorder="1"/>
    <xf numFmtId="0" fontId="0" fillId="0" borderId="3" xfId="0" applyBorder="1" applyAlignment="1">
      <alignment horizontal="left" vertical="justify" wrapText="1"/>
    </xf>
    <xf numFmtId="0" fontId="0" fillId="0" borderId="3" xfId="0" applyFill="1" applyBorder="1" applyAlignment="1">
      <alignment horizontal="center" vertical="justify" wrapText="1"/>
    </xf>
    <xf numFmtId="0" fontId="0" fillId="0" borderId="3" xfId="0" applyFill="1" applyBorder="1" applyAlignment="1">
      <alignment horizontal="left" vertical="justify" wrapText="1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 applyAlignment="1">
      <alignment horizontal="center" vertical="center"/>
    </xf>
    <xf numFmtId="0" fontId="0" fillId="0" borderId="0" xfId="0" applyFill="1"/>
    <xf numFmtId="0" fontId="0" fillId="2" borderId="3" xfId="0" applyFill="1" applyBorder="1"/>
    <xf numFmtId="0" fontId="0" fillId="0" borderId="3" xfId="0" applyBorder="1" applyAlignment="1">
      <alignment horizontal="center" vertical="justify"/>
    </xf>
    <xf numFmtId="0" fontId="0" fillId="2" borderId="3" xfId="0" applyFont="1" applyFill="1" applyBorder="1" applyAlignment="1">
      <alignment horizontal="left" vertical="center" wrapText="1"/>
    </xf>
    <xf numFmtId="16" fontId="0" fillId="2" borderId="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justify"/>
    </xf>
    <xf numFmtId="0" fontId="0" fillId="0" borderId="5" xfId="0" applyBorder="1" applyAlignment="1">
      <alignment horizontal="left" vertical="justify" wrapText="1"/>
    </xf>
    <xf numFmtId="0" fontId="0" fillId="0" borderId="5" xfId="0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justify"/>
    </xf>
    <xf numFmtId="0" fontId="1" fillId="0" borderId="0" xfId="0" applyFont="1"/>
    <xf numFmtId="0" fontId="0" fillId="0" borderId="3" xfId="0" applyBorder="1" applyAlignment="1">
      <alignment horizontal="center"/>
    </xf>
    <xf numFmtId="0" fontId="0" fillId="0" borderId="3" xfId="0" quotePrefix="1" applyBorder="1" applyAlignment="1">
      <alignment horizontal="left" vertical="justify"/>
    </xf>
    <xf numFmtId="0" fontId="0" fillId="0" borderId="3" xfId="0" applyBorder="1"/>
    <xf numFmtId="0" fontId="0" fillId="0" borderId="0" xfId="0" applyFill="1" applyBorder="1" applyAlignment="1">
      <alignment horizontal="center" vertical="justify"/>
    </xf>
    <xf numFmtId="164" fontId="0" fillId="0" borderId="3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265</xdr:row>
      <xdr:rowOff>142875</xdr:rowOff>
    </xdr:from>
    <xdr:to>
      <xdr:col>2</xdr:col>
      <xdr:colOff>85725</xdr:colOff>
      <xdr:row>265</xdr:row>
      <xdr:rowOff>147447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314450" y="508444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264</xdr:row>
      <xdr:rowOff>142875</xdr:rowOff>
    </xdr:from>
    <xdr:to>
      <xdr:col>2</xdr:col>
      <xdr:colOff>85725</xdr:colOff>
      <xdr:row>264</xdr:row>
      <xdr:rowOff>147447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14450" y="50653950"/>
          <a:ext cx="85725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265</xdr:row>
      <xdr:rowOff>142875</xdr:rowOff>
    </xdr:from>
    <xdr:to>
      <xdr:col>27</xdr:col>
      <xdr:colOff>107823</xdr:colOff>
      <xdr:row>265</xdr:row>
      <xdr:rowOff>147447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264</xdr:row>
      <xdr:rowOff>142875</xdr:rowOff>
    </xdr:from>
    <xdr:to>
      <xdr:col>27</xdr:col>
      <xdr:colOff>107823</xdr:colOff>
      <xdr:row>264</xdr:row>
      <xdr:rowOff>147447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265</xdr:row>
      <xdr:rowOff>142875</xdr:rowOff>
    </xdr:from>
    <xdr:to>
      <xdr:col>27</xdr:col>
      <xdr:colOff>69723</xdr:colOff>
      <xdr:row>265</xdr:row>
      <xdr:rowOff>147447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876675" y="508444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38100</xdr:colOff>
      <xdr:row>264</xdr:row>
      <xdr:rowOff>142875</xdr:rowOff>
    </xdr:from>
    <xdr:to>
      <xdr:col>27</xdr:col>
      <xdr:colOff>69723</xdr:colOff>
      <xdr:row>264</xdr:row>
      <xdr:rowOff>147447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876675" y="50653950"/>
          <a:ext cx="88773" cy="4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KOMULATIF%20SUSPEK%20TOTAL%2018%20JUNI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>
        <row r="1">
          <cell r="E1" t="str">
            <v>KECAMATAN</v>
          </cell>
          <cell r="F1" t="str">
            <v>KELURAHAN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1"/>
  <sheetViews>
    <sheetView tabSelected="1" topLeftCell="A6" workbookViewId="0">
      <selection activeCell="Q8" sqref="Q8:Q258"/>
    </sheetView>
  </sheetViews>
  <sheetFormatPr defaultColWidth="8.85546875" defaultRowHeight="15" x14ac:dyDescent="0.25"/>
  <cols>
    <col min="1" max="1" width="4.85546875" customWidth="1"/>
    <col min="2" max="2" width="14.85546875" customWidth="1"/>
    <col min="3" max="3" width="16.42578125" style="42" customWidth="1"/>
    <col min="4" max="4" width="22" style="42" customWidth="1"/>
    <col min="5" max="6" width="9.140625" hidden="1" customWidth="1"/>
    <col min="7" max="7" width="13.42578125" hidden="1" customWidth="1"/>
    <col min="8" max="8" width="13.85546875" hidden="1" customWidth="1"/>
    <col min="9" max="9" width="12.42578125" hidden="1" customWidth="1"/>
    <col min="10" max="10" width="12" hidden="1" customWidth="1"/>
    <col min="11" max="11" width="10.42578125" hidden="1" customWidth="1"/>
    <col min="12" max="13" width="9.140625" hidden="1" customWidth="1"/>
    <col min="14" max="14" width="12.85546875" hidden="1" customWidth="1"/>
    <col min="15" max="15" width="9.140625" style="3" hidden="1" customWidth="1"/>
    <col min="16" max="16" width="6.7109375" hidden="1" customWidth="1"/>
    <col min="17" max="17" width="17.42578125" customWidth="1"/>
  </cols>
  <sheetData>
    <row r="1" spans="1:17" x14ac:dyDescent="0.25">
      <c r="A1" s="1" t="s">
        <v>0</v>
      </c>
      <c r="B1" s="1"/>
      <c r="C1" s="2"/>
      <c r="D1" s="2"/>
    </row>
    <row r="2" spans="1:17" x14ac:dyDescent="0.25">
      <c r="A2" s="4"/>
      <c r="B2" s="4"/>
      <c r="C2" s="5"/>
      <c r="D2" s="5"/>
    </row>
    <row r="3" spans="1:17" x14ac:dyDescent="0.25">
      <c r="A3" s="4"/>
      <c r="B3" s="4"/>
      <c r="C3" s="5"/>
      <c r="D3" s="5"/>
    </row>
    <row r="4" spans="1:17" x14ac:dyDescent="0.25">
      <c r="A4" s="6" t="s">
        <v>1</v>
      </c>
      <c r="B4" s="7" t="s">
        <v>2</v>
      </c>
      <c r="C4" s="8"/>
      <c r="D4" s="8"/>
    </row>
    <row r="5" spans="1:17" ht="60" customHeight="1" x14ac:dyDescent="0.25">
      <c r="A5" s="9" t="s">
        <v>3</v>
      </c>
      <c r="B5" s="9" t="s">
        <v>4</v>
      </c>
      <c r="C5" s="10" t="s">
        <v>5</v>
      </c>
      <c r="D5" s="11" t="s">
        <v>6</v>
      </c>
      <c r="E5" s="12" t="s">
        <v>7</v>
      </c>
      <c r="F5" s="12" t="s">
        <v>8</v>
      </c>
      <c r="G5" s="13" t="s">
        <v>9</v>
      </c>
      <c r="H5" s="14" t="s">
        <v>10</v>
      </c>
      <c r="I5" s="14" t="s">
        <v>11</v>
      </c>
      <c r="J5" s="12" t="s">
        <v>12</v>
      </c>
      <c r="K5" s="13" t="s">
        <v>13</v>
      </c>
      <c r="L5" s="13" t="s">
        <v>14</v>
      </c>
      <c r="M5" s="12" t="s">
        <v>15</v>
      </c>
      <c r="Q5" s="15" t="s">
        <v>16</v>
      </c>
    </row>
    <row r="6" spans="1:17" ht="15" customHeight="1" x14ac:dyDescent="0.25">
      <c r="A6" s="16"/>
      <c r="B6" s="16"/>
      <c r="C6" s="17"/>
      <c r="D6" s="18"/>
      <c r="E6" s="12"/>
      <c r="F6" s="12"/>
      <c r="G6" s="19"/>
      <c r="H6" s="14"/>
      <c r="I6" s="14"/>
      <c r="J6" s="12"/>
      <c r="K6" s="19"/>
      <c r="L6" s="19"/>
      <c r="M6" s="12"/>
      <c r="Q6" s="20"/>
    </row>
    <row r="7" spans="1:17" ht="15.75" customHeight="1" x14ac:dyDescent="0.25">
      <c r="A7" s="16"/>
      <c r="B7" s="16"/>
      <c r="C7" s="17"/>
      <c r="D7" s="18"/>
      <c r="E7" s="12"/>
      <c r="F7" s="12"/>
      <c r="G7" s="21"/>
      <c r="H7" s="14"/>
      <c r="I7" s="14"/>
      <c r="J7" s="12"/>
      <c r="K7" s="21"/>
      <c r="L7" s="21"/>
      <c r="M7" s="12"/>
      <c r="Q7" s="22"/>
    </row>
    <row r="8" spans="1:17" x14ac:dyDescent="0.25">
      <c r="A8" s="23">
        <v>1</v>
      </c>
      <c r="B8" s="24" t="s">
        <v>17</v>
      </c>
      <c r="C8" s="25" t="s">
        <v>18</v>
      </c>
      <c r="D8" s="26">
        <f>COUNTIFS('[1]TOTAL SUSPEK'!$F:$F,"kembangarum")</f>
        <v>0</v>
      </c>
      <c r="E8" s="27" t="e">
        <f>SUM(#REF!)</f>
        <v>#REF!</v>
      </c>
      <c r="F8" s="27" t="e">
        <f>SUM(#REF!)</f>
        <v>#REF!</v>
      </c>
      <c r="G8" s="27" t="e">
        <f>SUM(#REF!)</f>
        <v>#REF!</v>
      </c>
      <c r="H8" s="27" t="e">
        <f>SUM(#REF!)</f>
        <v>#REF!</v>
      </c>
      <c r="I8" s="27" t="e">
        <f>SUM(#REF!)</f>
        <v>#REF!</v>
      </c>
      <c r="J8" s="27" t="e">
        <f>SUM(#REF!)</f>
        <v>#REF!</v>
      </c>
      <c r="K8" s="27" t="e">
        <f>SUM(#REF!)</f>
        <v>#REF!</v>
      </c>
      <c r="L8" s="27">
        <f>SUM(D8:D26)</f>
        <v>0</v>
      </c>
      <c r="M8" s="27" t="e">
        <f>SUM(#REF!)</f>
        <v>#REF!</v>
      </c>
      <c r="P8" s="28">
        <f t="shared" ref="P8:P71" si="0">SUM(D8:D8)</f>
        <v>0</v>
      </c>
      <c r="Q8" s="69">
        <f>SUM(P8:P26)</f>
        <v>0</v>
      </c>
    </row>
    <row r="9" spans="1:17" x14ac:dyDescent="0.25">
      <c r="A9" s="23"/>
      <c r="B9" s="24" t="s">
        <v>17</v>
      </c>
      <c r="C9" s="25" t="s">
        <v>17</v>
      </c>
      <c r="D9" s="26">
        <f>COUNTIFS('[1]TOTAL SUSPEK'!$F:$F,"mranggen")</f>
        <v>0</v>
      </c>
      <c r="E9" s="29"/>
      <c r="F9" s="30"/>
      <c r="G9" s="30"/>
      <c r="H9" s="30"/>
      <c r="I9" s="30"/>
      <c r="J9" s="30"/>
      <c r="K9" s="31"/>
      <c r="L9" s="31"/>
      <c r="M9" s="31"/>
      <c r="P9" s="28">
        <f t="shared" si="0"/>
        <v>0</v>
      </c>
      <c r="Q9" s="67"/>
    </row>
    <row r="10" spans="1:17" x14ac:dyDescent="0.25">
      <c r="A10" s="23"/>
      <c r="B10" s="24" t="s">
        <v>17</v>
      </c>
      <c r="C10" s="25" t="s">
        <v>19</v>
      </c>
      <c r="D10" s="26">
        <f>COUNTIFS('[1]TOTAL SUSPEK'!$F:$F,"kangkung")</f>
        <v>0</v>
      </c>
      <c r="E10" s="29"/>
      <c r="F10" s="30"/>
      <c r="G10" s="30"/>
      <c r="H10" s="30"/>
      <c r="I10" s="30"/>
      <c r="J10" s="30"/>
      <c r="K10" s="31"/>
      <c r="L10" s="31"/>
      <c r="M10" s="31"/>
      <c r="P10" s="28">
        <f t="shared" si="0"/>
        <v>0</v>
      </c>
      <c r="Q10" s="67"/>
    </row>
    <row r="11" spans="1:17" x14ac:dyDescent="0.25">
      <c r="A11" s="23"/>
      <c r="B11" s="24" t="s">
        <v>17</v>
      </c>
      <c r="C11" s="25" t="s">
        <v>20</v>
      </c>
      <c r="D11" s="26">
        <f>COUNTIFS('[1]TOTAL SUSPEK'!$F:$F,"Kalitengah")</f>
        <v>0</v>
      </c>
      <c r="E11" s="29"/>
      <c r="F11" s="30"/>
      <c r="G11" s="30"/>
      <c r="H11" s="30"/>
      <c r="I11" s="30"/>
      <c r="J11" s="30"/>
      <c r="K11" s="31"/>
      <c r="L11" s="31"/>
      <c r="M11" s="31"/>
      <c r="P11" s="28">
        <f t="shared" si="0"/>
        <v>0</v>
      </c>
      <c r="Q11" s="67"/>
    </row>
    <row r="12" spans="1:17" x14ac:dyDescent="0.25">
      <c r="A12" s="23"/>
      <c r="B12" s="24" t="s">
        <v>17</v>
      </c>
      <c r="C12" s="25" t="s">
        <v>21</v>
      </c>
      <c r="D12" s="26">
        <f>COUNTIFS('[1]TOTAL SUSPEK'!$F:$F,"brumbung")</f>
        <v>0</v>
      </c>
      <c r="E12" s="29"/>
      <c r="F12" s="30"/>
      <c r="G12" s="30"/>
      <c r="H12" s="30"/>
      <c r="I12" s="30"/>
      <c r="J12" s="30"/>
      <c r="K12" s="31"/>
      <c r="L12" s="31"/>
      <c r="M12" s="31"/>
      <c r="P12" s="28">
        <f t="shared" si="0"/>
        <v>0</v>
      </c>
      <c r="Q12" s="67"/>
    </row>
    <row r="13" spans="1:17" x14ac:dyDescent="0.25">
      <c r="A13" s="23"/>
      <c r="B13" s="24" t="s">
        <v>17</v>
      </c>
      <c r="C13" s="25" t="s">
        <v>22</v>
      </c>
      <c r="D13" s="26">
        <f>COUNTIFS('[1]TOTAL SUSPEK'!$F:$F,"Sumberejo",'[1]TOTAL SUSPEK'!$E:$E,"mranggen")</f>
        <v>0</v>
      </c>
      <c r="E13" s="29"/>
      <c r="F13" s="30"/>
      <c r="G13" s="30"/>
      <c r="H13" s="30"/>
      <c r="I13" s="30"/>
      <c r="J13" s="30"/>
      <c r="K13" s="31"/>
      <c r="L13" s="31"/>
      <c r="M13" s="31"/>
      <c r="P13" s="28">
        <f t="shared" si="0"/>
        <v>0</v>
      </c>
      <c r="Q13" s="67"/>
    </row>
    <row r="14" spans="1:17" x14ac:dyDescent="0.25">
      <c r="A14" s="23"/>
      <c r="B14" s="24" t="s">
        <v>17</v>
      </c>
      <c r="C14" s="25" t="s">
        <v>23</v>
      </c>
      <c r="D14" s="26">
        <f>COUNTIFS('[1]TOTAL SUSPEK'!$F:$F,"Bandungrejo",'[1]TOTAL SUSPEK'!$E:$E,"mranggen")</f>
        <v>0</v>
      </c>
      <c r="E14" s="29"/>
      <c r="F14" s="30"/>
      <c r="G14" s="30"/>
      <c r="H14" s="30"/>
      <c r="I14" s="30"/>
      <c r="J14" s="30"/>
      <c r="K14" s="31"/>
      <c r="L14" s="31"/>
      <c r="M14" s="31"/>
      <c r="P14" s="28">
        <f t="shared" si="0"/>
        <v>0</v>
      </c>
      <c r="Q14" s="67"/>
    </row>
    <row r="15" spans="1:17" x14ac:dyDescent="0.25">
      <c r="A15" s="23"/>
      <c r="B15" s="24" t="s">
        <v>17</v>
      </c>
      <c r="C15" s="25" t="s">
        <v>24</v>
      </c>
      <c r="D15" s="26">
        <f>COUNTIFS('[1]TOTAL SUSPEK'!$F:$F,"menur")</f>
        <v>0</v>
      </c>
      <c r="E15" s="29"/>
      <c r="F15" s="30"/>
      <c r="G15" s="30"/>
      <c r="H15" s="30"/>
      <c r="I15" s="30"/>
      <c r="J15" s="30"/>
      <c r="K15" s="31"/>
      <c r="L15" s="31"/>
      <c r="M15" s="31"/>
      <c r="P15" s="28">
        <f t="shared" si="0"/>
        <v>0</v>
      </c>
      <c r="Q15" s="67"/>
    </row>
    <row r="16" spans="1:17" x14ac:dyDescent="0.25">
      <c r="A16" s="23"/>
      <c r="B16" s="24" t="s">
        <v>17</v>
      </c>
      <c r="C16" s="25" t="s">
        <v>25</v>
      </c>
      <c r="D16" s="26">
        <f>COUNTIFS('[1]TOTAL SUSPEK'!$F:$F,"wringinjajar")</f>
        <v>0</v>
      </c>
      <c r="E16" s="29"/>
      <c r="F16" s="30"/>
      <c r="G16" s="30"/>
      <c r="H16" s="30"/>
      <c r="I16" s="30"/>
      <c r="J16" s="30"/>
      <c r="K16" s="31"/>
      <c r="L16" s="31"/>
      <c r="M16" s="31"/>
      <c r="P16" s="28">
        <f t="shared" si="0"/>
        <v>0</v>
      </c>
      <c r="Q16" s="67"/>
    </row>
    <row r="17" spans="1:17" x14ac:dyDescent="0.25">
      <c r="A17" s="23"/>
      <c r="B17" s="24" t="s">
        <v>17</v>
      </c>
      <c r="C17" s="25" t="s">
        <v>26</v>
      </c>
      <c r="D17" s="26">
        <f>COUNTIFS('[1]TOTAL SUSPEK'!$F:$F,"candisari")</f>
        <v>0</v>
      </c>
      <c r="E17" s="29"/>
      <c r="F17" s="30"/>
      <c r="G17" s="30"/>
      <c r="H17" s="30"/>
      <c r="I17" s="30"/>
      <c r="J17" s="30"/>
      <c r="K17" s="31"/>
      <c r="L17" s="31"/>
      <c r="M17" s="31"/>
      <c r="P17" s="28">
        <f t="shared" si="0"/>
        <v>0</v>
      </c>
      <c r="Q17" s="67"/>
    </row>
    <row r="18" spans="1:17" x14ac:dyDescent="0.25">
      <c r="A18" s="23"/>
      <c r="B18" s="24" t="s">
        <v>17</v>
      </c>
      <c r="C18" s="25" t="s">
        <v>27</v>
      </c>
      <c r="D18" s="26">
        <f>COUNTIFS('[1]TOTAL SUSPEK'!$F:$F,"ngemplak")</f>
        <v>0</v>
      </c>
      <c r="E18" s="29"/>
      <c r="F18" s="30"/>
      <c r="G18" s="30"/>
      <c r="H18" s="30"/>
      <c r="I18" s="30"/>
      <c r="J18" s="30"/>
      <c r="K18" s="31"/>
      <c r="L18" s="31"/>
      <c r="M18" s="31"/>
      <c r="P18" s="28">
        <f t="shared" si="0"/>
        <v>0</v>
      </c>
      <c r="Q18" s="67"/>
    </row>
    <row r="19" spans="1:17" x14ac:dyDescent="0.25">
      <c r="A19" s="23"/>
      <c r="B19" s="24" t="s">
        <v>17</v>
      </c>
      <c r="C19" s="25" t="s">
        <v>28</v>
      </c>
      <c r="D19" s="26">
        <f>COUNTIFS('[1]TOTAL SUSPEK'!$F:$F,"karangsono")</f>
        <v>0</v>
      </c>
      <c r="E19" s="29"/>
      <c r="F19" s="30"/>
      <c r="G19" s="30"/>
      <c r="H19" s="30"/>
      <c r="I19" s="30"/>
      <c r="J19" s="30"/>
      <c r="K19" s="31"/>
      <c r="L19" s="31"/>
      <c r="M19" s="31"/>
      <c r="P19" s="28">
        <f t="shared" si="0"/>
        <v>0</v>
      </c>
      <c r="Q19" s="67"/>
    </row>
    <row r="20" spans="1:17" x14ac:dyDescent="0.25">
      <c r="A20" s="23"/>
      <c r="B20" s="24" t="s">
        <v>17</v>
      </c>
      <c r="C20" s="25" t="s">
        <v>29</v>
      </c>
      <c r="D20" s="26">
        <f>COUNTIFS('[1]TOTAL SUSPEK'!$F:$F,"jamus")</f>
        <v>0</v>
      </c>
      <c r="E20" s="29"/>
      <c r="F20" s="30"/>
      <c r="G20" s="30"/>
      <c r="H20" s="30"/>
      <c r="I20" s="30"/>
      <c r="J20" s="30"/>
      <c r="K20" s="31"/>
      <c r="L20" s="31"/>
      <c r="M20" s="31"/>
      <c r="P20" s="28">
        <f t="shared" si="0"/>
        <v>0</v>
      </c>
      <c r="Q20" s="67"/>
    </row>
    <row r="21" spans="1:17" x14ac:dyDescent="0.25">
      <c r="A21" s="23"/>
      <c r="B21" s="24" t="s">
        <v>17</v>
      </c>
      <c r="C21" s="25" t="s">
        <v>30</v>
      </c>
      <c r="D21" s="26">
        <f>COUNTIFS('[1]TOTAL SUSPEK'!$F:$F,"waru")</f>
        <v>0</v>
      </c>
      <c r="E21" s="29"/>
      <c r="F21" s="30"/>
      <c r="G21" s="30"/>
      <c r="H21" s="30"/>
      <c r="I21" s="30"/>
      <c r="J21" s="30"/>
      <c r="K21" s="31"/>
      <c r="L21" s="31"/>
      <c r="M21" s="31"/>
      <c r="P21" s="28">
        <f t="shared" si="0"/>
        <v>0</v>
      </c>
      <c r="Q21" s="67"/>
    </row>
    <row r="22" spans="1:17" x14ac:dyDescent="0.25">
      <c r="A22" s="23"/>
      <c r="B22" s="24" t="s">
        <v>17</v>
      </c>
      <c r="C22" s="25" t="s">
        <v>31</v>
      </c>
      <c r="D22" s="26">
        <f>COUNTIFS('[1]TOTAL SUSPEK'!$F:$F,"tegalarum")</f>
        <v>0</v>
      </c>
      <c r="E22" s="29"/>
      <c r="F22" s="30"/>
      <c r="G22" s="30"/>
      <c r="H22" s="30"/>
      <c r="I22" s="30"/>
      <c r="J22" s="30"/>
      <c r="K22" s="31"/>
      <c r="L22" s="31"/>
      <c r="M22" s="31"/>
      <c r="P22" s="28">
        <f t="shared" si="0"/>
        <v>0</v>
      </c>
      <c r="Q22" s="67"/>
    </row>
    <row r="23" spans="1:17" x14ac:dyDescent="0.25">
      <c r="A23" s="23"/>
      <c r="B23" s="24" t="s">
        <v>17</v>
      </c>
      <c r="C23" s="25" t="s">
        <v>32</v>
      </c>
      <c r="D23" s="26">
        <f>COUNTIFS('[1]TOTAL SUSPEK'!$F:$F,"tamansari")</f>
        <v>0</v>
      </c>
      <c r="E23" s="29"/>
      <c r="F23" s="30"/>
      <c r="G23" s="30"/>
      <c r="H23" s="30"/>
      <c r="I23" s="30"/>
      <c r="J23" s="30"/>
      <c r="K23" s="31"/>
      <c r="L23" s="31"/>
      <c r="M23" s="31"/>
      <c r="P23" s="28">
        <f t="shared" si="0"/>
        <v>0</v>
      </c>
      <c r="Q23" s="67"/>
    </row>
    <row r="24" spans="1:17" x14ac:dyDescent="0.25">
      <c r="A24" s="23"/>
      <c r="B24" s="24" t="s">
        <v>17</v>
      </c>
      <c r="C24" s="25" t="s">
        <v>33</v>
      </c>
      <c r="D24" s="26">
        <f>COUNTIFS('[1]TOTAL SUSPEK'!$F:$F,"banyumeneng")</f>
        <v>0</v>
      </c>
      <c r="E24" s="29"/>
      <c r="F24" s="30"/>
      <c r="G24" s="30"/>
      <c r="H24" s="30"/>
      <c r="I24" s="30"/>
      <c r="J24" s="30"/>
      <c r="K24" s="31"/>
      <c r="L24" s="31"/>
      <c r="M24" s="31"/>
      <c r="P24" s="28">
        <f t="shared" si="0"/>
        <v>0</v>
      </c>
      <c r="Q24" s="67"/>
    </row>
    <row r="25" spans="1:17" x14ac:dyDescent="0.25">
      <c r="A25" s="23"/>
      <c r="B25" s="24" t="s">
        <v>17</v>
      </c>
      <c r="C25" s="25" t="s">
        <v>34</v>
      </c>
      <c r="D25" s="26">
        <f>COUNTIFS('[1]TOTAL SUSPEK'!$F:$F,"kebonbatur")</f>
        <v>0</v>
      </c>
      <c r="E25" s="29"/>
      <c r="F25" s="30"/>
      <c r="G25" s="30"/>
      <c r="H25" s="30"/>
      <c r="I25" s="30"/>
      <c r="J25" s="30"/>
      <c r="K25" s="31"/>
      <c r="L25" s="31"/>
      <c r="M25" s="31"/>
      <c r="P25" s="28">
        <f t="shared" si="0"/>
        <v>0</v>
      </c>
      <c r="Q25" s="67"/>
    </row>
    <row r="26" spans="1:17" x14ac:dyDescent="0.25">
      <c r="A26" s="23"/>
      <c r="B26" s="24" t="s">
        <v>17</v>
      </c>
      <c r="C26" s="25" t="s">
        <v>35</v>
      </c>
      <c r="D26" s="26">
        <f>COUNTIFS('[1]TOTAL SUSPEK'!$F:$F,"batursari")</f>
        <v>0</v>
      </c>
      <c r="E26" s="29"/>
      <c r="F26" s="30"/>
      <c r="G26" s="30"/>
      <c r="H26" s="30"/>
      <c r="I26" s="30"/>
      <c r="J26" s="30"/>
      <c r="K26" s="31"/>
      <c r="L26" s="31"/>
      <c r="M26" s="31"/>
      <c r="P26" s="28">
        <f t="shared" si="0"/>
        <v>0</v>
      </c>
      <c r="Q26" s="67"/>
    </row>
    <row r="27" spans="1:17" ht="15" customHeight="1" x14ac:dyDescent="0.25">
      <c r="A27" s="23">
        <v>2</v>
      </c>
      <c r="B27" s="24" t="s">
        <v>36</v>
      </c>
      <c r="C27" s="25" t="s">
        <v>37</v>
      </c>
      <c r="D27" s="26">
        <f>COUNTIFS('[1]TOTAL SUSPEK'!$F:$F,"wonowoso")</f>
        <v>0</v>
      </c>
      <c r="E27" s="29" t="e">
        <f>SUM(#REF!)</f>
        <v>#REF!</v>
      </c>
      <c r="F27" s="29" t="e">
        <f>SUM(#REF!)</f>
        <v>#REF!</v>
      </c>
      <c r="G27" s="29" t="e">
        <f>SUM(#REF!)</f>
        <v>#REF!</v>
      </c>
      <c r="H27" s="29" t="e">
        <f>SUM(#REF!)</f>
        <v>#REF!</v>
      </c>
      <c r="I27" s="29" t="e">
        <f>SUM(#REF!)</f>
        <v>#REF!</v>
      </c>
      <c r="J27" s="29" t="e">
        <f>SUM(#REF!)</f>
        <v>#REF!</v>
      </c>
      <c r="K27" s="29" t="e">
        <f>SUM(#REF!)</f>
        <v>#REF!</v>
      </c>
      <c r="L27" s="29">
        <f>SUM(D27:D43)</f>
        <v>0</v>
      </c>
      <c r="M27" s="29" t="e">
        <f>SUM(#REF!)</f>
        <v>#REF!</v>
      </c>
      <c r="P27" s="28">
        <f t="shared" si="0"/>
        <v>0</v>
      </c>
      <c r="Q27" s="69">
        <f>SUM(P27:P43)</f>
        <v>0</v>
      </c>
    </row>
    <row r="28" spans="1:17" ht="15" customHeight="1" x14ac:dyDescent="0.25">
      <c r="A28" s="23"/>
      <c r="B28" s="24" t="s">
        <v>36</v>
      </c>
      <c r="C28" s="25" t="s">
        <v>38</v>
      </c>
      <c r="D28" s="26">
        <f>COUNTIFS('[1]TOTAL SUSPEK'!$F:$F,"sampang")</f>
        <v>0</v>
      </c>
      <c r="E28" s="29"/>
      <c r="F28" s="30"/>
      <c r="G28" s="30"/>
      <c r="H28" s="30"/>
      <c r="I28" s="30"/>
      <c r="J28" s="30"/>
      <c r="K28" s="31"/>
      <c r="L28" s="31"/>
      <c r="M28" s="31"/>
      <c r="P28" s="28">
        <f t="shared" si="0"/>
        <v>0</v>
      </c>
      <c r="Q28" s="67"/>
    </row>
    <row r="29" spans="1:17" ht="15" customHeight="1" x14ac:dyDescent="0.25">
      <c r="A29" s="23"/>
      <c r="B29" s="24" t="s">
        <v>36</v>
      </c>
      <c r="C29" s="25" t="s">
        <v>39</v>
      </c>
      <c r="D29" s="26">
        <f>COUNTIFS('[1]TOTAL SUSPEK'!$F:$F,"tambakbulusan")</f>
        <v>0</v>
      </c>
      <c r="E29" s="29"/>
      <c r="F29" s="30"/>
      <c r="G29" s="30"/>
      <c r="H29" s="30"/>
      <c r="I29" s="30"/>
      <c r="J29" s="30"/>
      <c r="K29" s="31"/>
      <c r="L29" s="31"/>
      <c r="M29" s="31"/>
      <c r="P29" s="28">
        <f t="shared" si="0"/>
        <v>0</v>
      </c>
      <c r="Q29" s="67"/>
    </row>
    <row r="30" spans="1:17" ht="15" customHeight="1" x14ac:dyDescent="0.25">
      <c r="A30" s="23"/>
      <c r="B30" s="24" t="s">
        <v>36</v>
      </c>
      <c r="C30" s="25" t="s">
        <v>40</v>
      </c>
      <c r="D30" s="26">
        <f>COUNTIFS('[1]TOTAL SUSPEK'!$F:$F,"pulosari")</f>
        <v>0</v>
      </c>
      <c r="E30" s="29"/>
      <c r="F30" s="30"/>
      <c r="G30" s="30"/>
      <c r="H30" s="30"/>
      <c r="I30" s="30"/>
      <c r="J30" s="30"/>
      <c r="K30" s="31"/>
      <c r="L30" s="31"/>
      <c r="M30" s="31"/>
      <c r="P30" s="28">
        <f t="shared" si="0"/>
        <v>0</v>
      </c>
      <c r="Q30" s="67"/>
    </row>
    <row r="31" spans="1:17" ht="15" customHeight="1" x14ac:dyDescent="0.25">
      <c r="A31" s="23"/>
      <c r="B31" s="24" t="s">
        <v>36</v>
      </c>
      <c r="C31" s="25" t="s">
        <v>41</v>
      </c>
      <c r="D31" s="26">
        <f>COUNTIFS('[1]TOTAL SUSPEK'!$F:$F,"Rejosari",'[1]TOTAL SUSPEK'!$E:$E,"karangtengah")</f>
        <v>0</v>
      </c>
      <c r="E31" s="29"/>
      <c r="F31" s="30"/>
      <c r="G31" s="30"/>
      <c r="H31" s="30"/>
      <c r="I31" s="30"/>
      <c r="J31" s="30"/>
      <c r="K31" s="31"/>
      <c r="L31" s="31"/>
      <c r="M31" s="31"/>
      <c r="P31" s="28">
        <f t="shared" si="0"/>
        <v>0</v>
      </c>
      <c r="Q31" s="67"/>
    </row>
    <row r="32" spans="1:17" ht="15" customHeight="1" x14ac:dyDescent="0.25">
      <c r="A32" s="23"/>
      <c r="B32" s="24" t="s">
        <v>36</v>
      </c>
      <c r="C32" s="25" t="s">
        <v>42</v>
      </c>
      <c r="D32" s="26">
        <f>COUNTIFS('[1]TOTAL SUSPEK'!$F:$F,"Ploso")</f>
        <v>0</v>
      </c>
      <c r="E32" s="29"/>
      <c r="F32" s="30"/>
      <c r="G32" s="30"/>
      <c r="H32" s="30"/>
      <c r="I32" s="30"/>
      <c r="J32" s="30"/>
      <c r="K32" s="31"/>
      <c r="L32" s="31"/>
      <c r="M32" s="31"/>
      <c r="P32" s="28">
        <f t="shared" si="0"/>
        <v>0</v>
      </c>
      <c r="Q32" s="67"/>
    </row>
    <row r="33" spans="1:17" ht="15" customHeight="1" x14ac:dyDescent="0.25">
      <c r="A33" s="23"/>
      <c r="B33" s="24" t="s">
        <v>36</v>
      </c>
      <c r="C33" s="25" t="s">
        <v>43</v>
      </c>
      <c r="D33" s="26">
        <f>COUNTIFS('[1]TOTAL SUSPEK'!$F:$F,"Wonokerto")</f>
        <v>0</v>
      </c>
      <c r="E33" s="29"/>
      <c r="F33" s="30"/>
      <c r="G33" s="30"/>
      <c r="H33" s="30"/>
      <c r="I33" s="30"/>
      <c r="J33" s="30"/>
      <c r="K33" s="31"/>
      <c r="L33" s="31"/>
      <c r="M33" s="31"/>
      <c r="P33" s="28">
        <f t="shared" si="0"/>
        <v>0</v>
      </c>
      <c r="Q33" s="67"/>
    </row>
    <row r="34" spans="1:17" ht="15" customHeight="1" x14ac:dyDescent="0.25">
      <c r="A34" s="23"/>
      <c r="B34" s="24" t="s">
        <v>36</v>
      </c>
      <c r="C34" s="25" t="s">
        <v>44</v>
      </c>
      <c r="D34" s="26">
        <f>COUNTIFS('[1]TOTAL SUSPEK'!$F:$F,"Karangsari")</f>
        <v>0</v>
      </c>
      <c r="E34" s="29"/>
      <c r="F34" s="30"/>
      <c r="G34" s="30"/>
      <c r="H34" s="30"/>
      <c r="I34" s="30"/>
      <c r="J34" s="30"/>
      <c r="K34" s="31"/>
      <c r="L34" s="31"/>
      <c r="M34" s="31"/>
      <c r="P34" s="28">
        <f t="shared" si="0"/>
        <v>0</v>
      </c>
      <c r="Q34" s="67"/>
    </row>
    <row r="35" spans="1:17" ht="15" customHeight="1" x14ac:dyDescent="0.25">
      <c r="A35" s="23"/>
      <c r="B35" s="24" t="s">
        <v>36</v>
      </c>
      <c r="C35" s="25" t="s">
        <v>45</v>
      </c>
      <c r="D35" s="26">
        <f>COUNTIFS('[1]TOTAL SUSPEK'!$F:$F,"Batu")</f>
        <v>0</v>
      </c>
      <c r="E35" s="29"/>
      <c r="F35" s="30"/>
      <c r="G35" s="30"/>
      <c r="H35" s="30"/>
      <c r="I35" s="30"/>
      <c r="J35" s="30"/>
      <c r="K35" s="31"/>
      <c r="L35" s="31"/>
      <c r="M35" s="31"/>
      <c r="P35" s="28">
        <f t="shared" si="0"/>
        <v>0</v>
      </c>
      <c r="Q35" s="67"/>
    </row>
    <row r="36" spans="1:17" ht="15" customHeight="1" x14ac:dyDescent="0.25">
      <c r="A36" s="23"/>
      <c r="B36" s="24" t="s">
        <v>36</v>
      </c>
      <c r="C36" s="25" t="s">
        <v>46</v>
      </c>
      <c r="D36" s="26">
        <f>COUNTIFS('[1]TOTAL SUSPEK'!$F:$F,"Donorejo")</f>
        <v>0</v>
      </c>
      <c r="E36" s="29"/>
      <c r="F36" s="30"/>
      <c r="G36" s="30"/>
      <c r="H36" s="30"/>
      <c r="I36" s="30"/>
      <c r="J36" s="30"/>
      <c r="K36" s="31"/>
      <c r="L36" s="31"/>
      <c r="M36" s="31"/>
      <c r="P36" s="28">
        <f t="shared" si="0"/>
        <v>0</v>
      </c>
      <c r="Q36" s="67"/>
    </row>
    <row r="37" spans="1:17" ht="15" customHeight="1" x14ac:dyDescent="0.25">
      <c r="A37" s="23"/>
      <c r="B37" s="24" t="s">
        <v>36</v>
      </c>
      <c r="C37" s="25" t="s">
        <v>47</v>
      </c>
      <c r="D37" s="26">
        <f>COUNTIFS('[1]TOTAL SUSPEK'!$F:$F,"Kedunguter")</f>
        <v>0</v>
      </c>
      <c r="E37" s="29"/>
      <c r="F37" s="30"/>
      <c r="G37" s="30"/>
      <c r="H37" s="30"/>
      <c r="I37" s="30"/>
      <c r="J37" s="30"/>
      <c r="K37" s="31"/>
      <c r="L37" s="31"/>
      <c r="M37" s="31"/>
      <c r="P37" s="28">
        <f t="shared" si="0"/>
        <v>0</v>
      </c>
      <c r="Q37" s="67"/>
    </row>
    <row r="38" spans="1:17" ht="15" customHeight="1" x14ac:dyDescent="0.25">
      <c r="A38" s="23"/>
      <c r="B38" s="24" t="s">
        <v>36</v>
      </c>
      <c r="C38" s="25" t="s">
        <v>48</v>
      </c>
      <c r="D38" s="26">
        <f>COUNTIFS('[1]TOTAL SUSPEK'!$F:$F,"Karangtowo")</f>
        <v>0</v>
      </c>
      <c r="E38" s="29"/>
      <c r="F38" s="30"/>
      <c r="G38" s="30"/>
      <c r="H38" s="30"/>
      <c r="I38" s="30"/>
      <c r="J38" s="30"/>
      <c r="K38" s="31"/>
      <c r="L38" s="31"/>
      <c r="M38" s="31"/>
      <c r="P38" s="28">
        <f t="shared" si="0"/>
        <v>0</v>
      </c>
      <c r="Q38" s="67"/>
    </row>
    <row r="39" spans="1:17" ht="15" customHeight="1" x14ac:dyDescent="0.25">
      <c r="A39" s="23"/>
      <c r="B39" s="24" t="s">
        <v>36</v>
      </c>
      <c r="C39" s="25" t="s">
        <v>49</v>
      </c>
      <c r="D39" s="26">
        <f>COUNTIFS('[1]TOTAL SUSPEK'!$F:$F,"Wonoagung")</f>
        <v>0</v>
      </c>
      <c r="E39" s="29"/>
      <c r="F39" s="30"/>
      <c r="G39" s="30"/>
      <c r="H39" s="30"/>
      <c r="I39" s="30"/>
      <c r="J39" s="30"/>
      <c r="K39" s="31"/>
      <c r="L39" s="31"/>
      <c r="M39" s="31"/>
      <c r="P39" s="28">
        <f t="shared" si="0"/>
        <v>0</v>
      </c>
      <c r="Q39" s="67"/>
    </row>
    <row r="40" spans="1:17" ht="15" customHeight="1" x14ac:dyDescent="0.25">
      <c r="A40" s="23"/>
      <c r="B40" s="24" t="s">
        <v>36</v>
      </c>
      <c r="C40" s="25" t="s">
        <v>50</v>
      </c>
      <c r="D40" s="26">
        <f>COUNTIFS('[1]TOTAL SUSPEK'!$F:$F,"Klitih")</f>
        <v>0</v>
      </c>
      <c r="E40" s="29"/>
      <c r="F40" s="30"/>
      <c r="G40" s="30"/>
      <c r="H40" s="30"/>
      <c r="I40" s="30"/>
      <c r="J40" s="30"/>
      <c r="K40" s="31"/>
      <c r="L40" s="31"/>
      <c r="M40" s="31"/>
      <c r="P40" s="28">
        <f t="shared" si="0"/>
        <v>0</v>
      </c>
      <c r="Q40" s="67"/>
    </row>
    <row r="41" spans="1:17" ht="15" customHeight="1" x14ac:dyDescent="0.25">
      <c r="A41" s="23"/>
      <c r="B41" s="24" t="s">
        <v>36</v>
      </c>
      <c r="C41" s="25" t="s">
        <v>51</v>
      </c>
      <c r="D41" s="26">
        <f>COUNTIFS('[1]TOTAL SUSPEK'!$F:$F,"Grogol")</f>
        <v>0</v>
      </c>
      <c r="E41" s="29"/>
      <c r="F41" s="30"/>
      <c r="G41" s="30"/>
      <c r="H41" s="30"/>
      <c r="I41" s="30"/>
      <c r="J41" s="30"/>
      <c r="K41" s="31"/>
      <c r="L41" s="31"/>
      <c r="M41" s="31"/>
      <c r="P41" s="28">
        <f t="shared" si="0"/>
        <v>0</v>
      </c>
      <c r="Q41" s="67"/>
    </row>
    <row r="42" spans="1:17" ht="15" customHeight="1" x14ac:dyDescent="0.25">
      <c r="A42" s="23"/>
      <c r="B42" s="24" t="s">
        <v>36</v>
      </c>
      <c r="C42" s="25" t="s">
        <v>52</v>
      </c>
      <c r="D42" s="26">
        <f>COUNTIFS('[1]TOTAL SUSPEK'!$F:$F,"Pidodo")</f>
        <v>0</v>
      </c>
      <c r="E42" s="29"/>
      <c r="F42" s="30"/>
      <c r="G42" s="30"/>
      <c r="H42" s="30"/>
      <c r="I42" s="30"/>
      <c r="J42" s="30"/>
      <c r="K42" s="31"/>
      <c r="L42" s="31"/>
      <c r="M42" s="31"/>
      <c r="P42" s="28">
        <f t="shared" si="0"/>
        <v>0</v>
      </c>
      <c r="Q42" s="67"/>
    </row>
    <row r="43" spans="1:17" ht="15" customHeight="1" x14ac:dyDescent="0.25">
      <c r="A43" s="23"/>
      <c r="B43" s="24" t="s">
        <v>36</v>
      </c>
      <c r="C43" s="25" t="s">
        <v>53</v>
      </c>
      <c r="D43" s="26">
        <f>COUNTIFS('[1]TOTAL SUSPEK'!$F:$F,"Dukun")</f>
        <v>0</v>
      </c>
      <c r="E43" s="29"/>
      <c r="F43" s="30"/>
      <c r="G43" s="30"/>
      <c r="H43" s="30"/>
      <c r="I43" s="30"/>
      <c r="J43" s="30"/>
      <c r="K43" s="31"/>
      <c r="L43" s="31"/>
      <c r="M43" s="31"/>
      <c r="P43" s="28">
        <f t="shared" si="0"/>
        <v>0</v>
      </c>
      <c r="Q43" s="67"/>
    </row>
    <row r="44" spans="1:17" x14ac:dyDescent="0.25">
      <c r="A44" s="32">
        <v>3</v>
      </c>
      <c r="B44" s="33" t="s">
        <v>54</v>
      </c>
      <c r="C44" s="25" t="s">
        <v>55</v>
      </c>
      <c r="D44" s="26">
        <f>COUNTIFS('[1]TOTAL SUSPEK'!$F:$F,"Botorejo")</f>
        <v>0</v>
      </c>
      <c r="E44" s="29" t="e">
        <f>SUM(#REF!)</f>
        <v>#REF!</v>
      </c>
      <c r="F44" s="29" t="e">
        <f>SUM(#REF!)</f>
        <v>#REF!</v>
      </c>
      <c r="G44" s="29" t="e">
        <f>SUM(#REF!)</f>
        <v>#REF!</v>
      </c>
      <c r="H44" s="29" t="e">
        <f>SUM(#REF!)</f>
        <v>#REF!</v>
      </c>
      <c r="I44" s="29" t="e">
        <f>SUM(#REF!)</f>
        <v>#REF!</v>
      </c>
      <c r="J44" s="29" t="e">
        <f>SUM(#REF!)</f>
        <v>#REF!</v>
      </c>
      <c r="K44" s="29" t="e">
        <f>SUM(#REF!)</f>
        <v>#REF!</v>
      </c>
      <c r="L44" s="29">
        <f>SUM(D44:D64)</f>
        <v>0</v>
      </c>
      <c r="M44" s="29" t="e">
        <f>SUM(#REF!)</f>
        <v>#REF!</v>
      </c>
      <c r="P44" s="28">
        <f t="shared" si="0"/>
        <v>0</v>
      </c>
      <c r="Q44" s="69">
        <f>SUM(P44:P64)</f>
        <v>0</v>
      </c>
    </row>
    <row r="45" spans="1:17" x14ac:dyDescent="0.25">
      <c r="A45" s="32"/>
      <c r="B45" s="33" t="s">
        <v>54</v>
      </c>
      <c r="C45" s="25" t="s">
        <v>56</v>
      </c>
      <c r="D45" s="26">
        <f>COUNTIFS('[1]TOTAL SUSPEK'!$F:$F,"Getas")</f>
        <v>0</v>
      </c>
      <c r="E45" s="29"/>
      <c r="F45" s="30"/>
      <c r="G45" s="30"/>
      <c r="H45" s="30"/>
      <c r="I45" s="30"/>
      <c r="J45" s="30"/>
      <c r="K45" s="31"/>
      <c r="L45" s="31"/>
      <c r="M45" s="31"/>
      <c r="P45" s="28">
        <f t="shared" si="0"/>
        <v>0</v>
      </c>
      <c r="Q45" s="67"/>
    </row>
    <row r="46" spans="1:17" x14ac:dyDescent="0.25">
      <c r="A46" s="32"/>
      <c r="B46" s="33" t="s">
        <v>54</v>
      </c>
      <c r="C46" s="25" t="s">
        <v>57</v>
      </c>
      <c r="D46" s="26">
        <f>COUNTIFS('[1]TOTAL SUSPEK'!$F:$F,"Kuncir")</f>
        <v>0</v>
      </c>
      <c r="E46" s="29"/>
      <c r="F46" s="30"/>
      <c r="G46" s="30"/>
      <c r="H46" s="30"/>
      <c r="I46" s="30"/>
      <c r="J46" s="30"/>
      <c r="K46" s="31"/>
      <c r="L46" s="31"/>
      <c r="M46" s="31"/>
      <c r="P46" s="28">
        <f t="shared" si="0"/>
        <v>0</v>
      </c>
      <c r="Q46" s="67"/>
    </row>
    <row r="47" spans="1:17" x14ac:dyDescent="0.25">
      <c r="A47" s="32"/>
      <c r="B47" s="33" t="s">
        <v>54</v>
      </c>
      <c r="C47" s="25" t="s">
        <v>58</v>
      </c>
      <c r="D47" s="26">
        <f>COUNTIFS('[1]TOTAL SUSPEK'!$F:$F,"trengguli")</f>
        <v>0</v>
      </c>
      <c r="E47" s="29"/>
      <c r="F47" s="30"/>
      <c r="G47" s="30"/>
      <c r="H47" s="30"/>
      <c r="I47" s="30"/>
      <c r="J47" s="30"/>
      <c r="K47" s="31"/>
      <c r="L47" s="31"/>
      <c r="M47" s="31"/>
      <c r="P47" s="28">
        <f t="shared" si="0"/>
        <v>0</v>
      </c>
      <c r="Q47" s="67"/>
    </row>
    <row r="48" spans="1:17" x14ac:dyDescent="0.25">
      <c r="A48" s="32"/>
      <c r="B48" s="33" t="s">
        <v>54</v>
      </c>
      <c r="C48" s="25" t="s">
        <v>59</v>
      </c>
      <c r="D48" s="26">
        <f>COUNTIFS('[1]TOTAL SUSPEK'!$F:$F,"Mranak")</f>
        <v>0</v>
      </c>
      <c r="E48" s="29"/>
      <c r="F48" s="30"/>
      <c r="G48" s="30"/>
      <c r="H48" s="30"/>
      <c r="I48" s="30"/>
      <c r="J48" s="30"/>
      <c r="K48" s="31"/>
      <c r="L48" s="31"/>
      <c r="M48" s="31"/>
      <c r="P48" s="28">
        <f t="shared" si="0"/>
        <v>0</v>
      </c>
      <c r="Q48" s="67"/>
    </row>
    <row r="49" spans="1:17" x14ac:dyDescent="0.25">
      <c r="A49" s="32"/>
      <c r="B49" s="33" t="s">
        <v>54</v>
      </c>
      <c r="C49" s="25" t="s">
        <v>60</v>
      </c>
      <c r="D49" s="26">
        <f>COUNTIFS('[1]TOTAL SUSPEK'!$F:$F,"Pilangrejo")</f>
        <v>0</v>
      </c>
      <c r="E49" s="29"/>
      <c r="F49" s="30"/>
      <c r="G49" s="30"/>
      <c r="H49" s="30"/>
      <c r="I49" s="30"/>
      <c r="J49" s="30"/>
      <c r="K49" s="31"/>
      <c r="L49" s="31"/>
      <c r="M49" s="31"/>
      <c r="P49" s="28">
        <f t="shared" si="0"/>
        <v>0</v>
      </c>
      <c r="Q49" s="67"/>
    </row>
    <row r="50" spans="1:17" x14ac:dyDescent="0.25">
      <c r="A50" s="32"/>
      <c r="B50" s="33" t="s">
        <v>54</v>
      </c>
      <c r="C50" s="25" t="s">
        <v>61</v>
      </c>
      <c r="D50" s="26">
        <f>COUNTIFS('[1]TOTAL SUSPEK'!$F:$F,"Kerangkulon")</f>
        <v>0</v>
      </c>
      <c r="E50" s="29"/>
      <c r="F50" s="30"/>
      <c r="G50" s="30"/>
      <c r="H50" s="30"/>
      <c r="I50" s="30"/>
      <c r="J50" s="30"/>
      <c r="K50" s="31"/>
      <c r="L50" s="31"/>
      <c r="M50" s="31"/>
      <c r="P50" s="28">
        <f t="shared" si="0"/>
        <v>0</v>
      </c>
      <c r="Q50" s="67"/>
    </row>
    <row r="51" spans="1:17" x14ac:dyDescent="0.25">
      <c r="A51" s="32"/>
      <c r="B51" s="33" t="s">
        <v>54</v>
      </c>
      <c r="C51" s="25" t="s">
        <v>62</v>
      </c>
      <c r="D51" s="26">
        <f>COUNTIFS('[1]TOTAL SUSPEK'!$F:$F,"Sidomulyo",'[1]TOTAL SUSPEK'!$E:$E,"wonosalam")</f>
        <v>0</v>
      </c>
      <c r="E51" s="29"/>
      <c r="F51" s="30"/>
      <c r="G51" s="30"/>
      <c r="H51" s="30"/>
      <c r="I51" s="30"/>
      <c r="J51" s="30"/>
      <c r="K51" s="31"/>
      <c r="L51" s="31"/>
      <c r="M51" s="31"/>
      <c r="P51" s="28">
        <f t="shared" si="0"/>
        <v>0</v>
      </c>
      <c r="Q51" s="67"/>
    </row>
    <row r="52" spans="1:17" x14ac:dyDescent="0.25">
      <c r="A52" s="32"/>
      <c r="B52" s="33" t="s">
        <v>54</v>
      </c>
      <c r="C52" s="25" t="s">
        <v>63</v>
      </c>
      <c r="D52" s="26">
        <f>COUNTIFS('[1]TOTAL SUSPEK'!$F:$F,"Bunderan")</f>
        <v>0</v>
      </c>
      <c r="E52" s="29"/>
      <c r="F52" s="30"/>
      <c r="G52" s="30"/>
      <c r="H52" s="30"/>
      <c r="I52" s="30"/>
      <c r="J52" s="30"/>
      <c r="K52" s="31"/>
      <c r="L52" s="31"/>
      <c r="M52" s="31"/>
      <c r="P52" s="28">
        <f t="shared" si="0"/>
        <v>0</v>
      </c>
      <c r="Q52" s="67"/>
    </row>
    <row r="53" spans="1:17" x14ac:dyDescent="0.25">
      <c r="A53" s="32"/>
      <c r="B53" s="33" t="s">
        <v>54</v>
      </c>
      <c r="C53" s="25" t="s">
        <v>64</v>
      </c>
      <c r="D53" s="26">
        <f>COUNTIFS('[1]TOTAL SUSPEK'!$F:$F,"Mojodemak")</f>
        <v>0</v>
      </c>
      <c r="E53" s="29"/>
      <c r="F53" s="30"/>
      <c r="G53" s="30"/>
      <c r="H53" s="30"/>
      <c r="I53" s="30"/>
      <c r="J53" s="30"/>
      <c r="K53" s="31"/>
      <c r="L53" s="31"/>
      <c r="M53" s="31"/>
      <c r="P53" s="28">
        <f t="shared" si="0"/>
        <v>0</v>
      </c>
      <c r="Q53" s="67"/>
    </row>
    <row r="54" spans="1:17" x14ac:dyDescent="0.25">
      <c r="A54" s="32"/>
      <c r="B54" s="33" t="s">
        <v>54</v>
      </c>
      <c r="C54" s="25" t="s">
        <v>65</v>
      </c>
      <c r="D54" s="26">
        <f>COUNTIFS('[1]TOTAL SUSPEK'!$F:$F,"Mrisen")</f>
        <v>0</v>
      </c>
      <c r="E54" s="29"/>
      <c r="F54" s="30"/>
      <c r="G54" s="30"/>
      <c r="H54" s="30"/>
      <c r="I54" s="30"/>
      <c r="J54" s="30"/>
      <c r="K54" s="31"/>
      <c r="L54" s="31"/>
      <c r="M54" s="31"/>
      <c r="P54" s="28">
        <f t="shared" si="0"/>
        <v>0</v>
      </c>
      <c r="Q54" s="67"/>
    </row>
    <row r="55" spans="1:17" x14ac:dyDescent="0.25">
      <c r="A55" s="32"/>
      <c r="B55" s="33" t="s">
        <v>54</v>
      </c>
      <c r="C55" s="25" t="s">
        <v>66</v>
      </c>
      <c r="D55" s="26">
        <f>COUNTIFS('[1]TOTAL SUSPEK'!$F:$F,"Doreng")</f>
        <v>0</v>
      </c>
      <c r="E55" s="29"/>
      <c r="F55" s="30"/>
      <c r="G55" s="30"/>
      <c r="H55" s="30"/>
      <c r="I55" s="30"/>
      <c r="J55" s="30"/>
      <c r="K55" s="31"/>
      <c r="L55" s="31"/>
      <c r="M55" s="31"/>
      <c r="P55" s="28">
        <f t="shared" si="0"/>
        <v>0</v>
      </c>
      <c r="Q55" s="67"/>
    </row>
    <row r="56" spans="1:17" x14ac:dyDescent="0.25">
      <c r="A56" s="32"/>
      <c r="B56" s="33" t="s">
        <v>54</v>
      </c>
      <c r="C56" s="25" t="s">
        <v>67</v>
      </c>
      <c r="D56" s="26">
        <f>COUNTIFS('[1]TOTAL SUSPEK'!$F:$F,"Karangrowo")</f>
        <v>0</v>
      </c>
      <c r="E56" s="29"/>
      <c r="F56" s="30"/>
      <c r="G56" s="30"/>
      <c r="H56" s="30"/>
      <c r="I56" s="30"/>
      <c r="J56" s="30"/>
      <c r="K56" s="31"/>
      <c r="L56" s="31"/>
      <c r="M56" s="31"/>
      <c r="P56" s="28">
        <f t="shared" si="0"/>
        <v>0</v>
      </c>
      <c r="Q56" s="67"/>
    </row>
    <row r="57" spans="1:17" x14ac:dyDescent="0.25">
      <c r="A57" s="32"/>
      <c r="B57" s="33" t="s">
        <v>54</v>
      </c>
      <c r="C57" s="25" t="s">
        <v>68</v>
      </c>
      <c r="D57" s="26">
        <f>COUNTIFS('[1]TOTAL SUSPEK'!$F:$F,"Kalianyar")</f>
        <v>0</v>
      </c>
      <c r="E57" s="29"/>
      <c r="F57" s="30"/>
      <c r="G57" s="30"/>
      <c r="H57" s="30"/>
      <c r="I57" s="30"/>
      <c r="J57" s="30"/>
      <c r="K57" s="31"/>
      <c r="L57" s="31"/>
      <c r="M57" s="31"/>
      <c r="P57" s="28">
        <f t="shared" si="0"/>
        <v>0</v>
      </c>
      <c r="Q57" s="67"/>
    </row>
    <row r="58" spans="1:17" x14ac:dyDescent="0.25">
      <c r="A58" s="32"/>
      <c r="B58" s="33" t="s">
        <v>54</v>
      </c>
      <c r="C58" s="25" t="s">
        <v>54</v>
      </c>
      <c r="D58" s="26">
        <f>COUNTIFS('[1]TOTAL SUSPEK'!$F:$F,"Wonosalam")</f>
        <v>0</v>
      </c>
      <c r="E58" s="29"/>
      <c r="F58" s="30"/>
      <c r="G58" s="30"/>
      <c r="H58" s="30"/>
      <c r="I58" s="30"/>
      <c r="J58" s="30"/>
      <c r="K58" s="31"/>
      <c r="L58" s="31"/>
      <c r="M58" s="31"/>
      <c r="P58" s="28">
        <f t="shared" si="0"/>
        <v>0</v>
      </c>
      <c r="Q58" s="67"/>
    </row>
    <row r="59" spans="1:17" x14ac:dyDescent="0.25">
      <c r="A59" s="32"/>
      <c r="B59" s="33" t="s">
        <v>54</v>
      </c>
      <c r="C59" s="25" t="s">
        <v>69</v>
      </c>
      <c r="D59" s="26">
        <f>COUNTIFS('[1]TOTAL SUSPEK'!$F:$F,"Tlogorejo",'[1]TOTAL SUSPEK'!$E:$E,"wonosalam")</f>
        <v>0</v>
      </c>
      <c r="E59" s="29"/>
      <c r="F59" s="30"/>
      <c r="G59" s="30"/>
      <c r="H59" s="30"/>
      <c r="I59" s="30"/>
      <c r="J59" s="30"/>
      <c r="K59" s="31"/>
      <c r="L59" s="31"/>
      <c r="M59" s="31"/>
      <c r="P59" s="28">
        <f t="shared" si="0"/>
        <v>0</v>
      </c>
      <c r="Q59" s="67"/>
    </row>
    <row r="60" spans="1:17" x14ac:dyDescent="0.25">
      <c r="A60" s="32"/>
      <c r="B60" s="33" t="s">
        <v>54</v>
      </c>
      <c r="C60" s="25" t="s">
        <v>70</v>
      </c>
      <c r="D60" s="26">
        <f>COUNTIFS('[1]TOTAL SUSPEK'!$F:$F,"Tlogodowo")</f>
        <v>0</v>
      </c>
      <c r="E60" s="29"/>
      <c r="F60" s="30"/>
      <c r="G60" s="30"/>
      <c r="H60" s="30"/>
      <c r="I60" s="30"/>
      <c r="J60" s="30"/>
      <c r="K60" s="31"/>
      <c r="L60" s="31"/>
      <c r="M60" s="31"/>
      <c r="P60" s="28">
        <f t="shared" si="0"/>
        <v>0</v>
      </c>
      <c r="Q60" s="67"/>
    </row>
    <row r="61" spans="1:17" x14ac:dyDescent="0.25">
      <c r="A61" s="32"/>
      <c r="B61" s="33" t="s">
        <v>54</v>
      </c>
      <c r="C61" s="25" t="s">
        <v>71</v>
      </c>
      <c r="D61" s="26">
        <f>COUNTIFS('[1]TOTAL SUSPEK'!$F:$F,"Lempuyang")</f>
        <v>0</v>
      </c>
      <c r="E61" s="29"/>
      <c r="F61" s="30"/>
      <c r="G61" s="30"/>
      <c r="H61" s="30"/>
      <c r="I61" s="30"/>
      <c r="J61" s="30"/>
      <c r="K61" s="31"/>
      <c r="L61" s="31"/>
      <c r="M61" s="31"/>
      <c r="P61" s="28">
        <f t="shared" si="0"/>
        <v>0</v>
      </c>
      <c r="Q61" s="67"/>
    </row>
    <row r="62" spans="1:17" x14ac:dyDescent="0.25">
      <c r="A62" s="32"/>
      <c r="B62" s="33" t="s">
        <v>54</v>
      </c>
      <c r="C62" s="25" t="s">
        <v>72</v>
      </c>
      <c r="D62" s="26">
        <f>COUNTIFS('[1]TOTAL SUSPEK'!$F:$F,"Karangrejo",'[1]TOTAL SUSPEK'!$E:$E,"Wonosalam")</f>
        <v>0</v>
      </c>
      <c r="E62" s="29"/>
      <c r="F62" s="30"/>
      <c r="G62" s="30"/>
      <c r="H62" s="30"/>
      <c r="I62" s="30"/>
      <c r="J62" s="30"/>
      <c r="K62" s="31"/>
      <c r="L62" s="31"/>
      <c r="M62" s="31"/>
      <c r="P62" s="28">
        <f t="shared" si="0"/>
        <v>0</v>
      </c>
      <c r="Q62" s="67"/>
    </row>
    <row r="63" spans="1:17" x14ac:dyDescent="0.25">
      <c r="A63" s="32"/>
      <c r="B63" s="33" t="s">
        <v>54</v>
      </c>
      <c r="C63" s="25" t="s">
        <v>73</v>
      </c>
      <c r="D63" s="26">
        <f>COUNTIFS('[1]TOTAL SUSPEK'!$F:$F,"Kendaldoyong")</f>
        <v>0</v>
      </c>
      <c r="E63" s="29"/>
      <c r="F63" s="30"/>
      <c r="G63" s="30"/>
      <c r="H63" s="30"/>
      <c r="I63" s="30"/>
      <c r="J63" s="30"/>
      <c r="K63" s="31"/>
      <c r="L63" s="31"/>
      <c r="M63" s="31"/>
      <c r="P63" s="28">
        <f t="shared" si="0"/>
        <v>0</v>
      </c>
      <c r="Q63" s="67"/>
    </row>
    <row r="64" spans="1:17" x14ac:dyDescent="0.25">
      <c r="A64" s="32"/>
      <c r="B64" s="33" t="s">
        <v>54</v>
      </c>
      <c r="C64" s="25" t="s">
        <v>74</v>
      </c>
      <c r="D64" s="26">
        <f>COUNTIFS('[1]TOTAL SUSPEK'!$F:$F,"Jogoloyo")</f>
        <v>0</v>
      </c>
      <c r="E64" s="29"/>
      <c r="F64" s="30"/>
      <c r="G64" s="30"/>
      <c r="H64" s="30"/>
      <c r="I64" s="30"/>
      <c r="J64" s="30"/>
      <c r="K64" s="31"/>
      <c r="L64" s="31"/>
      <c r="M64" s="31"/>
      <c r="P64" s="28">
        <f t="shared" si="0"/>
        <v>0</v>
      </c>
      <c r="Q64" s="67"/>
    </row>
    <row r="65" spans="1:17" x14ac:dyDescent="0.25">
      <c r="A65" s="23">
        <v>4</v>
      </c>
      <c r="B65" s="24" t="s">
        <v>75</v>
      </c>
      <c r="C65" s="34" t="s">
        <v>76</v>
      </c>
      <c r="D65" s="26">
        <f>COUNTIFS('[1]TOTAL SUSPEK'!$F:$F,"Kedondong",'[1]TOTAL SUSPEK'!$E:$E,"gajah")</f>
        <v>0</v>
      </c>
      <c r="E65" s="29" t="e">
        <f>SUM(#REF!)</f>
        <v>#REF!</v>
      </c>
      <c r="F65" s="29" t="e">
        <f>SUM(#REF!)</f>
        <v>#REF!</v>
      </c>
      <c r="G65" s="29" t="e">
        <f>SUM(#REF!)</f>
        <v>#REF!</v>
      </c>
      <c r="H65" s="29" t="e">
        <f>SUM(#REF!)</f>
        <v>#REF!</v>
      </c>
      <c r="I65" s="29" t="e">
        <f>SUM(#REF!)</f>
        <v>#REF!</v>
      </c>
      <c r="J65" s="29" t="e">
        <f>SUM(#REF!)</f>
        <v>#REF!</v>
      </c>
      <c r="K65" s="29" t="e">
        <f>SUM(#REF!)</f>
        <v>#REF!</v>
      </c>
      <c r="L65" s="29">
        <f>SUM(D65:D82)</f>
        <v>0</v>
      </c>
      <c r="M65" s="29" t="e">
        <f>SUM(#REF!)</f>
        <v>#REF!</v>
      </c>
      <c r="P65" s="28">
        <f t="shared" si="0"/>
        <v>0</v>
      </c>
      <c r="Q65" s="69">
        <f>SUM(P65:P82)</f>
        <v>0</v>
      </c>
    </row>
    <row r="66" spans="1:17" x14ac:dyDescent="0.25">
      <c r="A66" s="23"/>
      <c r="B66" s="24" t="s">
        <v>75</v>
      </c>
      <c r="C66" s="35" t="s">
        <v>77</v>
      </c>
      <c r="D66" s="26">
        <f>COUNTIFS('[1]TOTAL SUSPEK'!$F:$F,"Banjarsari",'[1]TOTAL SUSPEK'!$E:$E,"gajah")</f>
        <v>0</v>
      </c>
      <c r="E66" s="29"/>
      <c r="F66" s="30"/>
      <c r="G66" s="30"/>
      <c r="H66" s="30"/>
      <c r="I66" s="30"/>
      <c r="J66" s="30"/>
      <c r="K66" s="31"/>
      <c r="L66" s="31"/>
      <c r="M66" s="31"/>
      <c r="P66" s="28">
        <f t="shared" si="0"/>
        <v>0</v>
      </c>
      <c r="Q66" s="67"/>
    </row>
    <row r="67" spans="1:17" x14ac:dyDescent="0.25">
      <c r="A67" s="23"/>
      <c r="B67" s="24" t="s">
        <v>75</v>
      </c>
      <c r="C67" s="34" t="s">
        <v>75</v>
      </c>
      <c r="D67" s="26">
        <f>COUNTIFS('[1]TOTAL SUSPEK'!$F:$F,"Gajah")</f>
        <v>0</v>
      </c>
      <c r="E67" s="29"/>
      <c r="F67" s="30"/>
      <c r="G67" s="30"/>
      <c r="H67" s="30"/>
      <c r="I67" s="30"/>
      <c r="J67" s="30"/>
      <c r="K67" s="31"/>
      <c r="L67" s="31"/>
      <c r="M67" s="31"/>
      <c r="P67" s="28">
        <f t="shared" si="0"/>
        <v>0</v>
      </c>
      <c r="Q67" s="67"/>
    </row>
    <row r="68" spans="1:17" x14ac:dyDescent="0.25">
      <c r="A68" s="23"/>
      <c r="B68" s="24" t="s">
        <v>75</v>
      </c>
      <c r="C68" s="34" t="s">
        <v>78</v>
      </c>
      <c r="D68" s="26">
        <f>COUNTIFS('[1]TOTAL SUSPEK'!$F:$F,"Sari")</f>
        <v>0</v>
      </c>
      <c r="E68" s="29"/>
      <c r="F68" s="30"/>
      <c r="G68" s="30"/>
      <c r="H68" s="30"/>
      <c r="I68" s="30"/>
      <c r="J68" s="30"/>
      <c r="K68" s="31"/>
      <c r="L68" s="31"/>
      <c r="M68" s="31"/>
      <c r="P68" s="28">
        <f t="shared" si="0"/>
        <v>0</v>
      </c>
      <c r="Q68" s="67"/>
    </row>
    <row r="69" spans="1:17" x14ac:dyDescent="0.25">
      <c r="A69" s="23"/>
      <c r="B69" s="24" t="s">
        <v>75</v>
      </c>
      <c r="C69" s="34" t="s">
        <v>79</v>
      </c>
      <c r="D69" s="26">
        <f>COUNTIFS('[1]TOTAL SUSPEK'!$F:$F,"Boyolali")</f>
        <v>0</v>
      </c>
      <c r="E69" s="29"/>
      <c r="F69" s="30"/>
      <c r="G69" s="30"/>
      <c r="H69" s="30"/>
      <c r="I69" s="30"/>
      <c r="J69" s="30"/>
      <c r="K69" s="31"/>
      <c r="L69" s="31"/>
      <c r="M69" s="31"/>
      <c r="P69" s="28">
        <f t="shared" si="0"/>
        <v>0</v>
      </c>
      <c r="Q69" s="67"/>
    </row>
    <row r="70" spans="1:17" x14ac:dyDescent="0.25">
      <c r="A70" s="23"/>
      <c r="B70" s="24" t="s">
        <v>75</v>
      </c>
      <c r="C70" s="34" t="s">
        <v>80</v>
      </c>
      <c r="D70" s="26">
        <f>COUNTIFS('[1]TOTAL SUSPEK'!$F:$F,"Jatisono")</f>
        <v>0</v>
      </c>
      <c r="E70" s="29"/>
      <c r="F70" s="30"/>
      <c r="G70" s="30"/>
      <c r="H70" s="30"/>
      <c r="I70" s="30"/>
      <c r="J70" s="30"/>
      <c r="K70" s="31"/>
      <c r="L70" s="31"/>
      <c r="M70" s="31"/>
      <c r="P70" s="28">
        <f t="shared" si="0"/>
        <v>0</v>
      </c>
      <c r="Q70" s="67"/>
    </row>
    <row r="71" spans="1:17" x14ac:dyDescent="0.25">
      <c r="A71" s="23"/>
      <c r="B71" s="24" t="s">
        <v>75</v>
      </c>
      <c r="C71" s="34" t="s">
        <v>81</v>
      </c>
      <c r="D71" s="26">
        <f>COUNTIFS('[1]TOTAL SUSPEK'!$F:$F,"Sambiroto")</f>
        <v>0</v>
      </c>
      <c r="E71" s="29"/>
      <c r="F71" s="30"/>
      <c r="G71" s="30"/>
      <c r="H71" s="30"/>
      <c r="I71" s="30"/>
      <c r="J71" s="30"/>
      <c r="K71" s="31"/>
      <c r="L71" s="31"/>
      <c r="M71" s="31"/>
      <c r="P71" s="28">
        <f t="shared" si="0"/>
        <v>0</v>
      </c>
      <c r="Q71" s="67"/>
    </row>
    <row r="72" spans="1:17" x14ac:dyDescent="0.25">
      <c r="A72" s="23"/>
      <c r="B72" s="24" t="s">
        <v>75</v>
      </c>
      <c r="C72" s="34" t="s">
        <v>82</v>
      </c>
      <c r="D72" s="26">
        <f>COUNTIFS('[1]TOTAL SUSPEK'!$F:$F,"Tlogopandogan")</f>
        <v>0</v>
      </c>
      <c r="E72" s="29"/>
      <c r="F72" s="30"/>
      <c r="G72" s="30"/>
      <c r="H72" s="30"/>
      <c r="I72" s="30"/>
      <c r="J72" s="30"/>
      <c r="K72" s="31"/>
      <c r="L72" s="31"/>
      <c r="M72" s="31"/>
      <c r="P72" s="28">
        <f t="shared" ref="P72:P135" si="1">SUM(D72:D72)</f>
        <v>0</v>
      </c>
      <c r="Q72" s="67"/>
    </row>
    <row r="73" spans="1:17" x14ac:dyDescent="0.25">
      <c r="A73" s="23"/>
      <c r="B73" s="24" t="s">
        <v>75</v>
      </c>
      <c r="C73" s="34" t="s">
        <v>83</v>
      </c>
      <c r="D73" s="26">
        <f>COUNTIFS('[1]TOTAL SUSPEK'!$F:$F,"Surodadi",'[1]TOTAL SUSPEK'!$E:$E,"gajah")</f>
        <v>0</v>
      </c>
      <c r="E73" s="29"/>
      <c r="F73" s="30"/>
      <c r="G73" s="30"/>
      <c r="H73" s="30"/>
      <c r="I73" s="30"/>
      <c r="J73" s="30"/>
      <c r="K73" s="31"/>
      <c r="L73" s="31"/>
      <c r="M73" s="31"/>
      <c r="P73" s="28">
        <f t="shared" si="1"/>
        <v>0</v>
      </c>
      <c r="Q73" s="67"/>
    </row>
    <row r="74" spans="1:17" x14ac:dyDescent="0.25">
      <c r="A74" s="23"/>
      <c r="B74" s="24" t="s">
        <v>75</v>
      </c>
      <c r="C74" s="34" t="s">
        <v>84</v>
      </c>
      <c r="D74" s="26">
        <f>COUNTIFS('[1]TOTAL SUSPEK'!$F:$F,"Gedangalas")</f>
        <v>0</v>
      </c>
      <c r="E74" s="29"/>
      <c r="F74" s="30"/>
      <c r="G74" s="30"/>
      <c r="H74" s="30"/>
      <c r="I74" s="30"/>
      <c r="J74" s="30"/>
      <c r="K74" s="31"/>
      <c r="L74" s="31"/>
      <c r="M74" s="31"/>
      <c r="P74" s="28">
        <f t="shared" si="1"/>
        <v>0</v>
      </c>
      <c r="Q74" s="67"/>
    </row>
    <row r="75" spans="1:17" x14ac:dyDescent="0.25">
      <c r="A75" s="23"/>
      <c r="B75" s="24" t="s">
        <v>75</v>
      </c>
      <c r="C75" s="34" t="s">
        <v>85</v>
      </c>
      <c r="D75" s="26">
        <f>COUNTIFS('[1]TOTAL SUSPEK'!$F:$F,"Sambung")</f>
        <v>0</v>
      </c>
      <c r="E75" s="29"/>
      <c r="F75" s="30"/>
      <c r="G75" s="30"/>
      <c r="H75" s="30"/>
      <c r="I75" s="30"/>
      <c r="J75" s="30"/>
      <c r="K75" s="31"/>
      <c r="L75" s="31"/>
      <c r="M75" s="31"/>
      <c r="P75" s="28">
        <f t="shared" si="1"/>
        <v>0</v>
      </c>
      <c r="Q75" s="67"/>
    </row>
    <row r="76" spans="1:17" x14ac:dyDescent="0.25">
      <c r="A76" s="23"/>
      <c r="B76" s="24" t="s">
        <v>75</v>
      </c>
      <c r="C76" s="34" t="s">
        <v>86</v>
      </c>
      <c r="D76" s="26">
        <f>COUNTIFS('[1]TOTAL SUSPEK'!$F:$F,"Tambirejo")</f>
        <v>0</v>
      </c>
      <c r="E76" s="29"/>
      <c r="F76" s="30"/>
      <c r="G76" s="30"/>
      <c r="H76" s="30"/>
      <c r="I76" s="30"/>
      <c r="J76" s="30"/>
      <c r="K76" s="31"/>
      <c r="L76" s="31"/>
      <c r="M76" s="31"/>
      <c r="P76" s="28">
        <f t="shared" si="1"/>
        <v>0</v>
      </c>
      <c r="Q76" s="67"/>
    </row>
    <row r="77" spans="1:17" x14ac:dyDescent="0.25">
      <c r="A77" s="23"/>
      <c r="B77" s="24" t="s">
        <v>75</v>
      </c>
      <c r="C77" s="34" t="s">
        <v>87</v>
      </c>
      <c r="D77" s="26">
        <f>COUNTIFS('[1]TOTAL SUSPEK'!$F:$F,"Mlatiharjo")</f>
        <v>0</v>
      </c>
      <c r="E77" s="29"/>
      <c r="F77" s="30"/>
      <c r="G77" s="30"/>
      <c r="H77" s="30"/>
      <c r="I77" s="30"/>
      <c r="J77" s="30"/>
      <c r="K77" s="31"/>
      <c r="L77" s="31"/>
      <c r="M77" s="31"/>
      <c r="P77" s="28">
        <f t="shared" si="1"/>
        <v>0</v>
      </c>
      <c r="Q77" s="67"/>
    </row>
    <row r="78" spans="1:17" x14ac:dyDescent="0.25">
      <c r="A78" s="23"/>
      <c r="B78" s="24" t="s">
        <v>75</v>
      </c>
      <c r="C78" s="34" t="s">
        <v>88</v>
      </c>
      <c r="D78" s="26">
        <f>COUNTIFS('[1]TOTAL SUSPEK'!$F:$F,"Mojosimo")</f>
        <v>0</v>
      </c>
      <c r="E78" s="29"/>
      <c r="F78" s="30"/>
      <c r="G78" s="30"/>
      <c r="H78" s="30"/>
      <c r="I78" s="30"/>
      <c r="J78" s="30"/>
      <c r="K78" s="31"/>
      <c r="L78" s="31"/>
      <c r="M78" s="31"/>
      <c r="P78" s="28">
        <f t="shared" si="1"/>
        <v>0</v>
      </c>
      <c r="Q78" s="67"/>
    </row>
    <row r="79" spans="1:17" x14ac:dyDescent="0.25">
      <c r="A79" s="23"/>
      <c r="B79" s="24" t="s">
        <v>75</v>
      </c>
      <c r="C79" s="34" t="s">
        <v>89</v>
      </c>
      <c r="D79" s="26">
        <f>COUNTIFS('[1]TOTAL SUSPEK'!$F:$F,"Medini")</f>
        <v>0</v>
      </c>
      <c r="E79" s="29"/>
      <c r="F79" s="30"/>
      <c r="G79" s="30"/>
      <c r="H79" s="30"/>
      <c r="I79" s="30"/>
      <c r="J79" s="30"/>
      <c r="K79" s="31"/>
      <c r="L79" s="31"/>
      <c r="M79" s="31"/>
      <c r="P79" s="28">
        <f t="shared" si="1"/>
        <v>0</v>
      </c>
      <c r="Q79" s="67"/>
    </row>
    <row r="80" spans="1:17" x14ac:dyDescent="0.25">
      <c r="A80" s="23"/>
      <c r="B80" s="24" t="s">
        <v>75</v>
      </c>
      <c r="C80" s="34" t="s">
        <v>90</v>
      </c>
      <c r="D80" s="26">
        <f>COUNTIFS('[1]TOTAL SUSPEK'!$F:$F,"Wilalung")</f>
        <v>0</v>
      </c>
      <c r="E80" s="29"/>
      <c r="F80" s="30"/>
      <c r="G80" s="30"/>
      <c r="H80" s="30"/>
      <c r="I80" s="30"/>
      <c r="J80" s="30"/>
      <c r="K80" s="31"/>
      <c r="L80" s="31"/>
      <c r="M80" s="31"/>
      <c r="P80" s="28">
        <f t="shared" si="1"/>
        <v>0</v>
      </c>
      <c r="Q80" s="67"/>
    </row>
    <row r="81" spans="1:17" x14ac:dyDescent="0.25">
      <c r="A81" s="23"/>
      <c r="B81" s="24" t="s">
        <v>75</v>
      </c>
      <c r="C81" s="34" t="s">
        <v>91</v>
      </c>
      <c r="D81" s="26">
        <f>COUNTIFS('[1]TOTAL SUSPEK'!$F:$F,"Tanjunganyar")</f>
        <v>0</v>
      </c>
      <c r="E81" s="29"/>
      <c r="F81" s="30"/>
      <c r="G81" s="30"/>
      <c r="H81" s="30"/>
      <c r="I81" s="30"/>
      <c r="J81" s="30"/>
      <c r="K81" s="31"/>
      <c r="L81" s="31"/>
      <c r="M81" s="31"/>
      <c r="P81" s="28">
        <f t="shared" si="1"/>
        <v>0</v>
      </c>
      <c r="Q81" s="67"/>
    </row>
    <row r="82" spans="1:17" x14ac:dyDescent="0.25">
      <c r="A82" s="23"/>
      <c r="B82" s="24" t="s">
        <v>75</v>
      </c>
      <c r="C82" s="34" t="s">
        <v>92</v>
      </c>
      <c r="D82" s="26">
        <f>COUNTIFS('[1]TOTAL SUSPEK'!$F:$F,"Mlekang")</f>
        <v>0</v>
      </c>
      <c r="E82" s="29"/>
      <c r="F82" s="30"/>
      <c r="G82" s="30"/>
      <c r="H82" s="30"/>
      <c r="I82" s="30"/>
      <c r="J82" s="30"/>
      <c r="K82" s="31"/>
      <c r="L82" s="31"/>
      <c r="M82" s="31"/>
      <c r="P82" s="28">
        <f t="shared" si="1"/>
        <v>0</v>
      </c>
      <c r="Q82" s="67"/>
    </row>
    <row r="83" spans="1:17" ht="15" customHeight="1" x14ac:dyDescent="0.25">
      <c r="A83" s="23">
        <v>5</v>
      </c>
      <c r="B83" s="36" t="s">
        <v>93</v>
      </c>
      <c r="C83" s="25" t="s">
        <v>94</v>
      </c>
      <c r="D83" s="26">
        <f>COUNTIFS('[1]TOTAL SUSPEK'!$F:$F,"Cangkring B")</f>
        <v>0</v>
      </c>
      <c r="E83" s="29" t="e">
        <f>SUM(#REF!)</f>
        <v>#REF!</v>
      </c>
      <c r="F83" s="29" t="e">
        <f>SUM(#REF!)</f>
        <v>#REF!</v>
      </c>
      <c r="G83" s="29" t="e">
        <f>SUM(#REF!)</f>
        <v>#REF!</v>
      </c>
      <c r="H83" s="29" t="e">
        <f>SUM(#REF!)</f>
        <v>#REF!</v>
      </c>
      <c r="I83" s="29" t="e">
        <f>SUM(#REF!)</f>
        <v>#REF!</v>
      </c>
      <c r="J83" s="29" t="e">
        <f>SUM(#REF!)</f>
        <v>#REF!</v>
      </c>
      <c r="K83" s="29" t="e">
        <f>SUM(#REF!)</f>
        <v>#REF!</v>
      </c>
      <c r="L83" s="29">
        <f>SUM(D83:D99)</f>
        <v>0</v>
      </c>
      <c r="M83" s="29" t="e">
        <f>SUM(#REF!)</f>
        <v>#REF!</v>
      </c>
      <c r="P83" s="28">
        <f t="shared" si="1"/>
        <v>0</v>
      </c>
      <c r="Q83" s="69">
        <f>SUM(P83:P99)</f>
        <v>0</v>
      </c>
    </row>
    <row r="84" spans="1:17" ht="15" customHeight="1" x14ac:dyDescent="0.25">
      <c r="A84" s="23"/>
      <c r="B84" s="36" t="s">
        <v>93</v>
      </c>
      <c r="C84" s="25" t="s">
        <v>95</v>
      </c>
      <c r="D84" s="26">
        <f>COUNTIFS('[1]TOTAL SUSPEK'!$F:$F,"Undaan Lor")</f>
        <v>0</v>
      </c>
      <c r="E84" s="29"/>
      <c r="F84" s="30"/>
      <c r="G84" s="30"/>
      <c r="H84" s="30"/>
      <c r="I84" s="30"/>
      <c r="J84" s="30"/>
      <c r="K84" s="31"/>
      <c r="L84" s="31"/>
      <c r="M84" s="31"/>
      <c r="P84" s="28">
        <f t="shared" si="1"/>
        <v>0</v>
      </c>
      <c r="Q84" s="67"/>
    </row>
    <row r="85" spans="1:17" ht="15" customHeight="1" x14ac:dyDescent="0.25">
      <c r="A85" s="23"/>
      <c r="B85" s="36" t="s">
        <v>93</v>
      </c>
      <c r="C85" s="25" t="s">
        <v>96</v>
      </c>
      <c r="D85" s="26">
        <f>COUNTIFS('[1]TOTAL SUSPEK'!$F:$F,"Undaan Kidul")</f>
        <v>0</v>
      </c>
      <c r="E85" s="29"/>
      <c r="F85" s="30"/>
      <c r="G85" s="30"/>
      <c r="H85" s="30"/>
      <c r="I85" s="30"/>
      <c r="J85" s="30"/>
      <c r="K85" s="31"/>
      <c r="L85" s="31"/>
      <c r="M85" s="31"/>
      <c r="P85" s="28">
        <f t="shared" si="1"/>
        <v>0</v>
      </c>
      <c r="Q85" s="67"/>
    </row>
    <row r="86" spans="1:17" ht="15" customHeight="1" x14ac:dyDescent="0.25">
      <c r="A86" s="23"/>
      <c r="B86" s="36" t="s">
        <v>93</v>
      </c>
      <c r="C86" s="25" t="s">
        <v>97</v>
      </c>
      <c r="D86" s="26">
        <f>COUNTIFS('[1]TOTAL SUSPEK'!$F:$F,"Ketanjung")</f>
        <v>0</v>
      </c>
      <c r="E86" s="29"/>
      <c r="F86" s="30"/>
      <c r="G86" s="30"/>
      <c r="H86" s="30"/>
      <c r="I86" s="30"/>
      <c r="J86" s="30"/>
      <c r="K86" s="31"/>
      <c r="L86" s="31"/>
      <c r="M86" s="31"/>
      <c r="P86" s="28">
        <f t="shared" si="1"/>
        <v>0</v>
      </c>
      <c r="Q86" s="67"/>
    </row>
    <row r="87" spans="1:17" ht="15" customHeight="1" x14ac:dyDescent="0.25">
      <c r="A87" s="23"/>
      <c r="B87" s="36" t="s">
        <v>93</v>
      </c>
      <c r="C87" s="25" t="s">
        <v>98</v>
      </c>
      <c r="D87" s="26">
        <f>COUNTIFS('[1]TOTAL SUSPEK'!$F:$F,"Cangkring Rembang")</f>
        <v>0</v>
      </c>
      <c r="E87" s="29"/>
      <c r="F87" s="30"/>
      <c r="G87" s="30"/>
      <c r="H87" s="30"/>
      <c r="I87" s="30"/>
      <c r="J87" s="30"/>
      <c r="K87" s="31"/>
      <c r="L87" s="31"/>
      <c r="M87" s="31"/>
      <c r="P87" s="28">
        <f t="shared" si="1"/>
        <v>0</v>
      </c>
      <c r="Q87" s="67"/>
    </row>
    <row r="88" spans="1:17" ht="15" customHeight="1" x14ac:dyDescent="0.25">
      <c r="A88" s="23"/>
      <c r="B88" s="36" t="s">
        <v>93</v>
      </c>
      <c r="C88" s="25" t="s">
        <v>99</v>
      </c>
      <c r="D88" s="26">
        <f>COUNTIFS('[1]TOTAL SUSPEK'!$F:$F,"Tuwang")</f>
        <v>0</v>
      </c>
      <c r="E88" s="29"/>
      <c r="F88" s="30"/>
      <c r="G88" s="30"/>
      <c r="H88" s="30"/>
      <c r="I88" s="30"/>
      <c r="J88" s="30"/>
      <c r="K88" s="31"/>
      <c r="L88" s="31"/>
      <c r="M88" s="31"/>
      <c r="P88" s="28">
        <f t="shared" si="1"/>
        <v>0</v>
      </c>
      <c r="Q88" s="67"/>
    </row>
    <row r="89" spans="1:17" ht="15" customHeight="1" x14ac:dyDescent="0.25">
      <c r="A89" s="23"/>
      <c r="B89" s="36" t="s">
        <v>93</v>
      </c>
      <c r="C89" s="25" t="s">
        <v>100</v>
      </c>
      <c r="D89" s="26">
        <f>COUNTIFS('[1]TOTAL SUSPEK'!$F:$F,"Wonorejo",'[1]TOTAL SUSPEK'!$E:$E,"karanganyar")</f>
        <v>0</v>
      </c>
      <c r="E89" s="29"/>
      <c r="F89" s="30"/>
      <c r="G89" s="30"/>
      <c r="H89" s="30"/>
      <c r="I89" s="30"/>
      <c r="J89" s="30"/>
      <c r="K89" s="31"/>
      <c r="L89" s="31"/>
      <c r="M89" s="31"/>
      <c r="P89" s="28">
        <f t="shared" si="1"/>
        <v>0</v>
      </c>
      <c r="Q89" s="67"/>
    </row>
    <row r="90" spans="1:17" ht="15" customHeight="1" x14ac:dyDescent="0.25">
      <c r="A90" s="23"/>
      <c r="B90" s="36" t="s">
        <v>93</v>
      </c>
      <c r="C90" s="25" t="s">
        <v>101</v>
      </c>
      <c r="D90" s="26">
        <f>COUNTIFS('[1]TOTAL SUSPEK'!$F:$F,"Ngemplik Wetan")</f>
        <v>0</v>
      </c>
      <c r="E90" s="29"/>
      <c r="F90" s="30"/>
      <c r="G90" s="30"/>
      <c r="H90" s="30"/>
      <c r="I90" s="30"/>
      <c r="J90" s="30"/>
      <c r="K90" s="31"/>
      <c r="L90" s="31"/>
      <c r="M90" s="31"/>
      <c r="P90" s="28">
        <f t="shared" si="1"/>
        <v>0</v>
      </c>
      <c r="Q90" s="67"/>
    </row>
    <row r="91" spans="1:17" ht="15" customHeight="1" x14ac:dyDescent="0.25">
      <c r="A91" s="23"/>
      <c r="B91" s="36" t="s">
        <v>93</v>
      </c>
      <c r="C91" s="25" t="s">
        <v>93</v>
      </c>
      <c r="D91" s="26">
        <f>COUNTIFS('[1]TOTAL SUSPEK'!$F:$F,"Karanganyar")</f>
        <v>0</v>
      </c>
      <c r="E91" s="29"/>
      <c r="F91" s="30"/>
      <c r="G91" s="30"/>
      <c r="H91" s="30"/>
      <c r="I91" s="30"/>
      <c r="J91" s="30"/>
      <c r="K91" s="31"/>
      <c r="L91" s="31"/>
      <c r="M91" s="31"/>
      <c r="P91" s="28">
        <f t="shared" si="1"/>
        <v>0</v>
      </c>
      <c r="Q91" s="67"/>
    </row>
    <row r="92" spans="1:17" ht="15" customHeight="1" x14ac:dyDescent="0.25">
      <c r="A92" s="23"/>
      <c r="B92" s="36" t="s">
        <v>93</v>
      </c>
      <c r="C92" s="25" t="s">
        <v>102</v>
      </c>
      <c r="D92" s="26">
        <f>COUNTIFS('[1]TOTAL SUSPEK'!$F:$F,"Ngaluran")</f>
        <v>0</v>
      </c>
      <c r="E92" s="29"/>
      <c r="F92" s="30"/>
      <c r="G92" s="30"/>
      <c r="H92" s="30"/>
      <c r="I92" s="30"/>
      <c r="J92" s="30"/>
      <c r="K92" s="31"/>
      <c r="L92" s="31"/>
      <c r="M92" s="31"/>
      <c r="P92" s="28">
        <f t="shared" si="1"/>
        <v>0</v>
      </c>
      <c r="Q92" s="67"/>
    </row>
    <row r="93" spans="1:17" ht="15" customHeight="1" x14ac:dyDescent="0.25">
      <c r="A93" s="23"/>
      <c r="B93" s="36" t="s">
        <v>93</v>
      </c>
      <c r="C93" s="25" t="s">
        <v>103</v>
      </c>
      <c r="D93" s="26">
        <f>COUNTIFS('[1]TOTAL SUSPEK'!$F:$F,"Kedungwaru Kidul")</f>
        <v>0</v>
      </c>
      <c r="E93" s="29"/>
      <c r="F93" s="30"/>
      <c r="G93" s="30"/>
      <c r="H93" s="30"/>
      <c r="I93" s="30"/>
      <c r="J93" s="30"/>
      <c r="K93" s="31"/>
      <c r="L93" s="31"/>
      <c r="M93" s="31"/>
      <c r="P93" s="28">
        <f t="shared" si="1"/>
        <v>0</v>
      </c>
      <c r="Q93" s="67"/>
    </row>
    <row r="94" spans="1:17" ht="15" customHeight="1" x14ac:dyDescent="0.25">
      <c r="A94" s="23"/>
      <c r="B94" s="36" t="s">
        <v>93</v>
      </c>
      <c r="C94" s="25" t="s">
        <v>104</v>
      </c>
      <c r="D94" s="26">
        <f>COUNTIFS('[1]TOTAL SUSPEK'!$F:$F,"Kedungwaru Lor")</f>
        <v>0</v>
      </c>
      <c r="E94" s="29"/>
      <c r="F94" s="30"/>
      <c r="G94" s="30"/>
      <c r="H94" s="30"/>
      <c r="I94" s="30"/>
      <c r="J94" s="30"/>
      <c r="K94" s="31"/>
      <c r="L94" s="31"/>
      <c r="M94" s="31"/>
      <c r="P94" s="28">
        <f t="shared" si="1"/>
        <v>0</v>
      </c>
      <c r="Q94" s="67"/>
    </row>
    <row r="95" spans="1:17" ht="15" customHeight="1" x14ac:dyDescent="0.25">
      <c r="A95" s="23"/>
      <c r="B95" s="36" t="s">
        <v>93</v>
      </c>
      <c r="C95" s="25" t="s">
        <v>105</v>
      </c>
      <c r="D95" s="26">
        <f>COUNTIFS('[1]TOTAL SUSPEK'!$F:$F,"Tugu Lor")</f>
        <v>0</v>
      </c>
      <c r="E95" s="29"/>
      <c r="F95" s="30"/>
      <c r="G95" s="30"/>
      <c r="H95" s="30"/>
      <c r="I95" s="30"/>
      <c r="J95" s="30"/>
      <c r="K95" s="31"/>
      <c r="L95" s="31"/>
      <c r="M95" s="31"/>
      <c r="P95" s="28">
        <f t="shared" si="1"/>
        <v>0</v>
      </c>
      <c r="Q95" s="67"/>
    </row>
    <row r="96" spans="1:17" ht="15" customHeight="1" x14ac:dyDescent="0.25">
      <c r="A96" s="23"/>
      <c r="B96" s="36" t="s">
        <v>93</v>
      </c>
      <c r="C96" s="25" t="s">
        <v>106</v>
      </c>
      <c r="D96" s="26">
        <f>COUNTIFS('[1]TOTAL SUSPEK'!$F:$F,"Kotakan")</f>
        <v>0</v>
      </c>
      <c r="E96" s="29"/>
      <c r="F96" s="30"/>
      <c r="G96" s="30"/>
      <c r="H96" s="30"/>
      <c r="I96" s="30"/>
      <c r="J96" s="30"/>
      <c r="K96" s="31"/>
      <c r="L96" s="31"/>
      <c r="M96" s="31"/>
      <c r="P96" s="28">
        <f t="shared" si="1"/>
        <v>0</v>
      </c>
      <c r="Q96" s="67"/>
    </row>
    <row r="97" spans="1:17" ht="15" customHeight="1" x14ac:dyDescent="0.25">
      <c r="A97" s="23"/>
      <c r="B97" s="36" t="s">
        <v>93</v>
      </c>
      <c r="C97" s="25" t="s">
        <v>107</v>
      </c>
      <c r="D97" s="26">
        <f>COUNTIFS('[1]TOTAL SUSPEK'!$F:$F,"Wonoketingal")</f>
        <v>0</v>
      </c>
      <c r="E97" s="29"/>
      <c r="F97" s="30"/>
      <c r="G97" s="30"/>
      <c r="H97" s="30"/>
      <c r="I97" s="30"/>
      <c r="J97" s="30"/>
      <c r="K97" s="31"/>
      <c r="L97" s="31"/>
      <c r="M97" s="31"/>
      <c r="P97" s="28">
        <f t="shared" si="1"/>
        <v>0</v>
      </c>
      <c r="Q97" s="67"/>
    </row>
    <row r="98" spans="1:17" ht="15" customHeight="1" x14ac:dyDescent="0.25">
      <c r="A98" s="23"/>
      <c r="B98" s="36" t="s">
        <v>93</v>
      </c>
      <c r="C98" s="25" t="s">
        <v>108</v>
      </c>
      <c r="D98" s="26">
        <f>COUNTIFS('[1]TOTAL SUSPEK'!$F:$F,"Jatirejo")</f>
        <v>0</v>
      </c>
      <c r="E98" s="29"/>
      <c r="F98" s="30"/>
      <c r="G98" s="30"/>
      <c r="H98" s="30"/>
      <c r="I98" s="30"/>
      <c r="J98" s="30"/>
      <c r="K98" s="31"/>
      <c r="L98" s="31"/>
      <c r="M98" s="31"/>
      <c r="P98" s="28">
        <f t="shared" si="1"/>
        <v>0</v>
      </c>
      <c r="Q98" s="67"/>
    </row>
    <row r="99" spans="1:17" ht="15" customHeight="1" x14ac:dyDescent="0.25">
      <c r="A99" s="23"/>
      <c r="B99" s="36" t="s">
        <v>93</v>
      </c>
      <c r="C99" s="25" t="s">
        <v>23</v>
      </c>
      <c r="D99" s="26">
        <f>COUNTIFS('[1]TOTAL SUSPEK'!$F:$F,"Bandungrejo",'[1]TOTAL SUSPEK'!$E:$E,"Karanganyar")</f>
        <v>0</v>
      </c>
      <c r="E99" s="29"/>
      <c r="F99" s="30"/>
      <c r="G99" s="30"/>
      <c r="H99" s="30"/>
      <c r="I99" s="30"/>
      <c r="J99" s="30"/>
      <c r="K99" s="31"/>
      <c r="L99" s="31"/>
      <c r="M99" s="31"/>
      <c r="P99" s="28">
        <f t="shared" si="1"/>
        <v>0</v>
      </c>
      <c r="Q99" s="67"/>
    </row>
    <row r="100" spans="1:17" ht="15" customHeight="1" x14ac:dyDescent="0.25">
      <c r="A100" s="23">
        <v>6</v>
      </c>
      <c r="B100" s="36" t="s">
        <v>109</v>
      </c>
      <c r="C100" s="25" t="s">
        <v>110</v>
      </c>
      <c r="D100" s="26">
        <f>COUNTIFS('[1]TOTAL SUSPEK'!$F:$F,"Mijen",'[1]TOTAL SUSPEK'!$E:$E,"mijen")</f>
        <v>0</v>
      </c>
      <c r="E100" s="29" t="e">
        <f>SUM(#REF!)</f>
        <v>#REF!</v>
      </c>
      <c r="F100" s="29" t="e">
        <f>SUM(#REF!)</f>
        <v>#REF!</v>
      </c>
      <c r="G100" s="29" t="e">
        <f>SUM(#REF!)</f>
        <v>#REF!</v>
      </c>
      <c r="H100" s="29" t="e">
        <f>SUM(#REF!)</f>
        <v>#REF!</v>
      </c>
      <c r="I100" s="29" t="e">
        <f>SUM(#REF!)</f>
        <v>#REF!</v>
      </c>
      <c r="J100" s="29" t="e">
        <f>SUM(#REF!)</f>
        <v>#REF!</v>
      </c>
      <c r="K100" s="29" t="e">
        <f>SUM(#REF!)</f>
        <v>#REF!</v>
      </c>
      <c r="L100" s="29">
        <f>SUM(D100:D114)</f>
        <v>0</v>
      </c>
      <c r="M100" s="29" t="e">
        <f>SUM(#REF!)</f>
        <v>#REF!</v>
      </c>
      <c r="P100" s="28">
        <f t="shared" si="1"/>
        <v>0</v>
      </c>
      <c r="Q100" s="69">
        <f>SUM(P100:P114)</f>
        <v>0</v>
      </c>
    </row>
    <row r="101" spans="1:17" ht="15" customHeight="1" x14ac:dyDescent="0.25">
      <c r="A101" s="23"/>
      <c r="B101" s="36" t="s">
        <v>109</v>
      </c>
      <c r="C101" s="25" t="s">
        <v>111</v>
      </c>
      <c r="D101" s="26">
        <f>COUNTIFS('[1]TOTAL SUSPEK'!$F:$F,"Geneng")</f>
        <v>0</v>
      </c>
      <c r="E101" s="29"/>
      <c r="F101" s="30"/>
      <c r="G101" s="30"/>
      <c r="H101" s="30"/>
      <c r="I101" s="30"/>
      <c r="J101" s="30"/>
      <c r="K101" s="31"/>
      <c r="L101" s="31"/>
      <c r="M101" s="31"/>
      <c r="P101" s="28">
        <f t="shared" si="1"/>
        <v>0</v>
      </c>
      <c r="Q101" s="67"/>
    </row>
    <row r="102" spans="1:17" ht="15" customHeight="1" x14ac:dyDescent="0.25">
      <c r="A102" s="23"/>
      <c r="B102" s="36" t="s">
        <v>109</v>
      </c>
      <c r="C102" s="25" t="s">
        <v>112</v>
      </c>
      <c r="D102" s="26">
        <f>COUNTIFS('[1]TOTAL SUSPEK'!$F:$F,"Tanggul")</f>
        <v>0</v>
      </c>
      <c r="E102" s="29"/>
      <c r="F102" s="30"/>
      <c r="G102" s="30"/>
      <c r="H102" s="30"/>
      <c r="I102" s="30"/>
      <c r="J102" s="30"/>
      <c r="K102" s="31"/>
      <c r="L102" s="31"/>
      <c r="M102" s="31"/>
      <c r="P102" s="28">
        <f t="shared" si="1"/>
        <v>0</v>
      </c>
      <c r="Q102" s="67"/>
    </row>
    <row r="103" spans="1:17" ht="15" customHeight="1" x14ac:dyDescent="0.25">
      <c r="A103" s="23"/>
      <c r="B103" s="36" t="s">
        <v>109</v>
      </c>
      <c r="C103" s="25" t="s">
        <v>113</v>
      </c>
      <c r="D103" s="26">
        <f>COUNTIFS('[1]TOTAL SUSPEK'!$F:$F,"Bantengmati")</f>
        <v>0</v>
      </c>
      <c r="E103" s="29"/>
      <c r="F103" s="30"/>
      <c r="G103" s="30"/>
      <c r="H103" s="30"/>
      <c r="I103" s="30"/>
      <c r="J103" s="30"/>
      <c r="K103" s="31"/>
      <c r="L103" s="31"/>
      <c r="M103" s="31"/>
      <c r="P103" s="28">
        <f t="shared" si="1"/>
        <v>0</v>
      </c>
      <c r="Q103" s="67"/>
    </row>
    <row r="104" spans="1:17" ht="15" customHeight="1" x14ac:dyDescent="0.25">
      <c r="A104" s="23"/>
      <c r="B104" s="36" t="s">
        <v>109</v>
      </c>
      <c r="C104" s="25" t="s">
        <v>114</v>
      </c>
      <c r="D104" s="26">
        <f>COUNTIFS('[1]TOTAL SUSPEK'!$F:$F,"Mlaten")</f>
        <v>0</v>
      </c>
      <c r="E104" s="29"/>
      <c r="F104" s="30"/>
      <c r="G104" s="30"/>
      <c r="H104" s="30"/>
      <c r="I104" s="30"/>
      <c r="J104" s="30"/>
      <c r="K104" s="31"/>
      <c r="L104" s="31"/>
      <c r="M104" s="31"/>
      <c r="P104" s="28">
        <f t="shared" si="1"/>
        <v>0</v>
      </c>
      <c r="Q104" s="67"/>
    </row>
    <row r="105" spans="1:17" ht="15" customHeight="1" x14ac:dyDescent="0.25">
      <c r="A105" s="23"/>
      <c r="B105" s="36" t="s">
        <v>109</v>
      </c>
      <c r="C105" s="25" t="s">
        <v>115</v>
      </c>
      <c r="D105" s="26">
        <f>COUNTIFS('[1]TOTAL SUSPEK'!$F:$F,"Bermi")</f>
        <v>0</v>
      </c>
      <c r="E105" s="29"/>
      <c r="F105" s="30"/>
      <c r="G105" s="30"/>
      <c r="H105" s="30"/>
      <c r="I105" s="30"/>
      <c r="J105" s="30"/>
      <c r="K105" s="31"/>
      <c r="L105" s="31"/>
      <c r="M105" s="31"/>
      <c r="P105" s="28">
        <f t="shared" si="1"/>
        <v>0</v>
      </c>
      <c r="Q105" s="67"/>
    </row>
    <row r="106" spans="1:17" ht="15" customHeight="1" x14ac:dyDescent="0.25">
      <c r="A106" s="23"/>
      <c r="B106" s="36" t="s">
        <v>109</v>
      </c>
      <c r="C106" s="25" t="s">
        <v>116</v>
      </c>
      <c r="D106" s="26">
        <f>COUNTIFS('[1]TOTAL SUSPEK'!$F:$F,"Gempolsongo")</f>
        <v>0</v>
      </c>
      <c r="E106" s="29"/>
      <c r="F106" s="30"/>
      <c r="G106" s="30"/>
      <c r="H106" s="30"/>
      <c r="I106" s="30"/>
      <c r="J106" s="30"/>
      <c r="K106" s="31"/>
      <c r="L106" s="31"/>
      <c r="M106" s="31"/>
      <c r="P106" s="28">
        <f t="shared" si="1"/>
        <v>0</v>
      </c>
      <c r="Q106" s="67"/>
    </row>
    <row r="107" spans="1:17" ht="15" customHeight="1" x14ac:dyDescent="0.25">
      <c r="A107" s="23"/>
      <c r="B107" s="36" t="s">
        <v>109</v>
      </c>
      <c r="C107" s="25" t="s">
        <v>117</v>
      </c>
      <c r="D107" s="26">
        <f>COUNTIFS('[1]TOTAL SUSPEK'!$F:$F,"Ngelo wetan")</f>
        <v>0</v>
      </c>
      <c r="E107" s="29"/>
      <c r="F107" s="30"/>
      <c r="G107" s="30"/>
      <c r="H107" s="30"/>
      <c r="I107" s="30"/>
      <c r="J107" s="30"/>
      <c r="K107" s="31"/>
      <c r="L107" s="31"/>
      <c r="M107" s="31"/>
      <c r="P107" s="28">
        <f t="shared" si="1"/>
        <v>0</v>
      </c>
      <c r="Q107" s="67"/>
    </row>
    <row r="108" spans="1:17" ht="15" customHeight="1" x14ac:dyDescent="0.25">
      <c r="A108" s="23"/>
      <c r="B108" s="36" t="s">
        <v>109</v>
      </c>
      <c r="C108" s="25" t="s">
        <v>118</v>
      </c>
      <c r="D108" s="26">
        <f>COUNTIFS('[1]TOTAL SUSPEK'!$F:$F,"Bakung")</f>
        <v>0</v>
      </c>
      <c r="E108" s="29"/>
      <c r="F108" s="30"/>
      <c r="G108" s="30"/>
      <c r="H108" s="30"/>
      <c r="I108" s="30"/>
      <c r="J108" s="30"/>
      <c r="K108" s="31"/>
      <c r="L108" s="31"/>
      <c r="M108" s="31"/>
      <c r="P108" s="28">
        <f t="shared" si="1"/>
        <v>0</v>
      </c>
      <c r="Q108" s="67"/>
    </row>
    <row r="109" spans="1:17" ht="15" customHeight="1" x14ac:dyDescent="0.25">
      <c r="A109" s="23"/>
      <c r="B109" s="36" t="s">
        <v>109</v>
      </c>
      <c r="C109" s="25" t="s">
        <v>119</v>
      </c>
      <c r="D109" s="26">
        <f>COUNTIFS('[1]TOTAL SUSPEK'!$F:$F,"Pasir")</f>
        <v>0</v>
      </c>
      <c r="E109" s="29"/>
      <c r="F109" s="30"/>
      <c r="G109" s="30"/>
      <c r="H109" s="30"/>
      <c r="I109" s="30"/>
      <c r="J109" s="30"/>
      <c r="K109" s="31"/>
      <c r="L109" s="31"/>
      <c r="M109" s="31"/>
      <c r="P109" s="28">
        <f t="shared" si="1"/>
        <v>0</v>
      </c>
      <c r="Q109" s="67"/>
    </row>
    <row r="110" spans="1:17" ht="15" customHeight="1" x14ac:dyDescent="0.25">
      <c r="A110" s="23"/>
      <c r="B110" s="36" t="s">
        <v>109</v>
      </c>
      <c r="C110" s="25" t="s">
        <v>120</v>
      </c>
      <c r="D110" s="26">
        <f>COUNTIFS('[1]TOTAL SUSPEK'!$F:$F,"Jleper")</f>
        <v>0</v>
      </c>
      <c r="E110" s="29"/>
      <c r="F110" s="30"/>
      <c r="G110" s="30"/>
      <c r="H110" s="30"/>
      <c r="I110" s="30"/>
      <c r="J110" s="30"/>
      <c r="K110" s="31"/>
      <c r="L110" s="31"/>
      <c r="M110" s="31"/>
      <c r="P110" s="28">
        <f t="shared" si="1"/>
        <v>0</v>
      </c>
      <c r="Q110" s="67"/>
    </row>
    <row r="111" spans="1:17" ht="15" customHeight="1" x14ac:dyDescent="0.25">
      <c r="A111" s="23"/>
      <c r="B111" s="36" t="s">
        <v>109</v>
      </c>
      <c r="C111" s="25" t="s">
        <v>41</v>
      </c>
      <c r="D111" s="26">
        <f>COUNTIFS('[1]TOTAL SUSPEK'!$F:$F,"Rejosari",'[1]TOTAL SUSPEK'!$E:$E,"mijen")</f>
        <v>0</v>
      </c>
      <c r="E111" s="29"/>
      <c r="F111" s="30"/>
      <c r="G111" s="30"/>
      <c r="H111" s="30"/>
      <c r="I111" s="30"/>
      <c r="J111" s="30"/>
      <c r="K111" s="31"/>
      <c r="L111" s="31"/>
      <c r="M111" s="31"/>
      <c r="P111" s="28">
        <f t="shared" si="1"/>
        <v>0</v>
      </c>
      <c r="Q111" s="67"/>
    </row>
    <row r="112" spans="1:17" ht="15" customHeight="1" x14ac:dyDescent="0.25">
      <c r="A112" s="23"/>
      <c r="B112" s="36" t="s">
        <v>109</v>
      </c>
      <c r="C112" s="25" t="s">
        <v>121</v>
      </c>
      <c r="D112" s="26">
        <f>COUNTIFS('[1]TOTAL SUSPEK'!$F:$F,"Ngegot")</f>
        <v>0</v>
      </c>
      <c r="E112" s="29"/>
      <c r="F112" s="30"/>
      <c r="G112" s="30"/>
      <c r="H112" s="30"/>
      <c r="I112" s="30"/>
      <c r="J112" s="30"/>
      <c r="K112" s="31"/>
      <c r="L112" s="31"/>
      <c r="M112" s="31"/>
      <c r="P112" s="28">
        <f t="shared" si="1"/>
        <v>0</v>
      </c>
      <c r="Q112" s="67"/>
    </row>
    <row r="113" spans="1:17" ht="15" customHeight="1" x14ac:dyDescent="0.25">
      <c r="A113" s="23"/>
      <c r="B113" s="36" t="s">
        <v>109</v>
      </c>
      <c r="C113" s="25" t="s">
        <v>122</v>
      </c>
      <c r="D113" s="26">
        <f>COUNTIFS('[1]TOTAL SUSPEK'!$F:$F,"Pecuk")</f>
        <v>0</v>
      </c>
      <c r="E113" s="29"/>
      <c r="F113" s="30"/>
      <c r="G113" s="30"/>
      <c r="H113" s="30"/>
      <c r="I113" s="30"/>
      <c r="J113" s="30"/>
      <c r="K113" s="31"/>
      <c r="L113" s="31"/>
      <c r="M113" s="31"/>
      <c r="P113" s="28">
        <f t="shared" si="1"/>
        <v>0</v>
      </c>
      <c r="Q113" s="67"/>
    </row>
    <row r="114" spans="1:17" ht="15" customHeight="1" x14ac:dyDescent="0.25">
      <c r="A114" s="23"/>
      <c r="B114" s="36" t="s">
        <v>109</v>
      </c>
      <c r="C114" s="25" t="s">
        <v>123</v>
      </c>
      <c r="D114" s="26">
        <f>COUNTIFS('[1]TOTAL SUSPEK'!$F:$F,"Ngelo Kulon")</f>
        <v>0</v>
      </c>
      <c r="E114" s="29"/>
      <c r="F114" s="30"/>
      <c r="G114" s="30"/>
      <c r="H114" s="30"/>
      <c r="I114" s="30"/>
      <c r="J114" s="30"/>
      <c r="K114" s="31"/>
      <c r="L114" s="31"/>
      <c r="M114" s="31"/>
      <c r="P114" s="28">
        <f t="shared" si="1"/>
        <v>0</v>
      </c>
      <c r="Q114" s="67"/>
    </row>
    <row r="115" spans="1:17" x14ac:dyDescent="0.25">
      <c r="A115" s="23">
        <v>7</v>
      </c>
      <c r="B115" s="36" t="s">
        <v>124</v>
      </c>
      <c r="C115" s="25" t="s">
        <v>125</v>
      </c>
      <c r="D115" s="26">
        <f>COUNTIFS('[1]TOTAL SUSPEK'!$F:$F,"Betokan")</f>
        <v>0</v>
      </c>
      <c r="E115" s="29" t="e">
        <f>SUM(#REF!)</f>
        <v>#REF!</v>
      </c>
      <c r="F115" s="29" t="e">
        <f>SUM(#REF!)</f>
        <v>#REF!</v>
      </c>
      <c r="G115" s="29" t="e">
        <f>SUM(#REF!)</f>
        <v>#REF!</v>
      </c>
      <c r="H115" s="29" t="e">
        <f>SUM(#REF!)</f>
        <v>#REF!</v>
      </c>
      <c r="I115" s="29" t="e">
        <f>SUM(#REF!)</f>
        <v>#REF!</v>
      </c>
      <c r="J115" s="29" t="e">
        <f>SUM(#REF!)</f>
        <v>#REF!</v>
      </c>
      <c r="K115" s="29" t="e">
        <f>SUM(#REF!)</f>
        <v>#REF!</v>
      </c>
      <c r="L115" s="29">
        <f>SUM(D115:D133)</f>
        <v>0</v>
      </c>
      <c r="M115" s="29" t="e">
        <f>SUM(#REF!)</f>
        <v>#REF!</v>
      </c>
      <c r="P115" s="28">
        <f t="shared" si="1"/>
        <v>0</v>
      </c>
      <c r="Q115" s="69">
        <f>SUM(P115:P133)</f>
        <v>0</v>
      </c>
    </row>
    <row r="116" spans="1:17" x14ac:dyDescent="0.25">
      <c r="A116" s="23"/>
      <c r="B116" s="36" t="s">
        <v>124</v>
      </c>
      <c r="C116" s="25" t="s">
        <v>126</v>
      </c>
      <c r="D116" s="26">
        <f>COUNTIFS('[1]TOTAL SUSPEK'!$F:$F,"Kalicilik")</f>
        <v>0</v>
      </c>
      <c r="E116" s="29"/>
      <c r="F116" s="30"/>
      <c r="G116" s="30"/>
      <c r="H116" s="30"/>
      <c r="I116" s="30"/>
      <c r="J116" s="30"/>
      <c r="K116" s="31"/>
      <c r="L116" s="31"/>
      <c r="M116" s="31"/>
      <c r="P116" s="28">
        <f t="shared" si="1"/>
        <v>0</v>
      </c>
      <c r="Q116" s="67"/>
    </row>
    <row r="117" spans="1:17" x14ac:dyDescent="0.25">
      <c r="A117" s="23"/>
      <c r="B117" s="36" t="s">
        <v>124</v>
      </c>
      <c r="C117" s="25" t="s">
        <v>127</v>
      </c>
      <c r="D117" s="26">
        <f>COUNTIFS('[1]TOTAL SUSPEK'!$F:$F,"Kadilangu")</f>
        <v>0</v>
      </c>
      <c r="E117" s="29"/>
      <c r="F117" s="30"/>
      <c r="G117" s="30"/>
      <c r="H117" s="30"/>
      <c r="I117" s="30"/>
      <c r="J117" s="30"/>
      <c r="K117" s="31"/>
      <c r="L117" s="31"/>
      <c r="M117" s="31"/>
      <c r="P117" s="28">
        <f t="shared" si="1"/>
        <v>0</v>
      </c>
      <c r="Q117" s="67"/>
    </row>
    <row r="118" spans="1:17" x14ac:dyDescent="0.25">
      <c r="A118" s="23"/>
      <c r="B118" s="36" t="s">
        <v>124</v>
      </c>
      <c r="C118" s="25" t="s">
        <v>128</v>
      </c>
      <c r="D118" s="26">
        <f>COUNTIFS('[1]TOTAL SUSPEK'!$F:$F,"Singorejo")</f>
        <v>0</v>
      </c>
      <c r="E118" s="29"/>
      <c r="F118" s="30"/>
      <c r="G118" s="30"/>
      <c r="H118" s="30"/>
      <c r="I118" s="30"/>
      <c r="J118" s="30"/>
      <c r="K118" s="31"/>
      <c r="L118" s="31"/>
      <c r="M118" s="31"/>
      <c r="P118" s="28">
        <f t="shared" si="1"/>
        <v>0</v>
      </c>
      <c r="Q118" s="67"/>
    </row>
    <row r="119" spans="1:17" x14ac:dyDescent="0.25">
      <c r="A119" s="23"/>
      <c r="B119" s="36" t="s">
        <v>124</v>
      </c>
      <c r="C119" s="25" t="s">
        <v>129</v>
      </c>
      <c r="D119" s="26">
        <f>COUNTIFS('[1]TOTAL SUSPEK'!$F:$F,"Karangmlati")</f>
        <v>0</v>
      </c>
      <c r="E119" s="29"/>
      <c r="F119" s="30"/>
      <c r="G119" s="30"/>
      <c r="H119" s="30"/>
      <c r="I119" s="30"/>
      <c r="J119" s="30"/>
      <c r="K119" s="31"/>
      <c r="L119" s="31"/>
      <c r="M119" s="31"/>
      <c r="P119" s="28">
        <f t="shared" si="1"/>
        <v>0</v>
      </c>
      <c r="Q119" s="67"/>
    </row>
    <row r="120" spans="1:17" x14ac:dyDescent="0.25">
      <c r="A120" s="23"/>
      <c r="B120" s="36" t="s">
        <v>124</v>
      </c>
      <c r="C120" s="25" t="s">
        <v>130</v>
      </c>
      <c r="D120" s="26">
        <f>COUNTIFS('[1]TOTAL SUSPEK'!$F:$F,"Bintoro")</f>
        <v>0</v>
      </c>
      <c r="E120" s="29"/>
      <c r="F120" s="30"/>
      <c r="G120" s="30"/>
      <c r="H120" s="30"/>
      <c r="I120" s="30"/>
      <c r="J120" s="30"/>
      <c r="K120" s="31"/>
      <c r="L120" s="31"/>
      <c r="M120" s="31"/>
      <c r="P120" s="28">
        <f t="shared" si="1"/>
        <v>0</v>
      </c>
      <c r="Q120" s="67"/>
    </row>
    <row r="121" spans="1:17" x14ac:dyDescent="0.25">
      <c r="A121" s="23"/>
      <c r="B121" s="36" t="s">
        <v>124</v>
      </c>
      <c r="C121" s="25" t="s">
        <v>131</v>
      </c>
      <c r="D121" s="26">
        <f>COUNTIFS('[1]TOTAL SUSPEK'!$F:$F,"Turirejo")</f>
        <v>0</v>
      </c>
      <c r="E121" s="29"/>
      <c r="F121" s="30"/>
      <c r="G121" s="30"/>
      <c r="H121" s="30"/>
      <c r="I121" s="30"/>
      <c r="J121" s="30"/>
      <c r="K121" s="31"/>
      <c r="L121" s="31"/>
      <c r="M121" s="31"/>
      <c r="P121" s="28">
        <f t="shared" si="1"/>
        <v>0</v>
      </c>
      <c r="Q121" s="67"/>
    </row>
    <row r="122" spans="1:17" s="42" customFormat="1" x14ac:dyDescent="0.25">
      <c r="A122" s="37"/>
      <c r="B122" s="38" t="s">
        <v>124</v>
      </c>
      <c r="C122" s="25" t="s">
        <v>76</v>
      </c>
      <c r="D122" s="26">
        <f>COUNTIFS('[1]TOTAL SUSPEK'!$F:$F,"Kedondong",'[1]TOTAL SUSPEK'!$E:$E,"demak")</f>
        <v>0</v>
      </c>
      <c r="E122" s="39"/>
      <c r="F122" s="40"/>
      <c r="G122" s="40"/>
      <c r="H122" s="40"/>
      <c r="I122" s="40"/>
      <c r="J122" s="40"/>
      <c r="K122" s="41"/>
      <c r="L122" s="41"/>
      <c r="M122" s="41"/>
      <c r="P122" s="28">
        <f t="shared" si="1"/>
        <v>0</v>
      </c>
      <c r="Q122" s="25"/>
    </row>
    <row r="123" spans="1:17" x14ac:dyDescent="0.25">
      <c r="A123" s="23"/>
      <c r="B123" s="36" t="s">
        <v>124</v>
      </c>
      <c r="C123" s="43" t="s">
        <v>132</v>
      </c>
      <c r="D123" s="26">
        <f>COUNTIFS('[1]TOTAL SUSPEK'!$F:$F,"Bango")</f>
        <v>0</v>
      </c>
      <c r="E123" s="29"/>
      <c r="F123" s="30"/>
      <c r="G123" s="30"/>
      <c r="H123" s="30"/>
      <c r="I123" s="30"/>
      <c r="J123" s="30"/>
      <c r="K123" s="31"/>
      <c r="L123" s="31"/>
      <c r="M123" s="31"/>
      <c r="P123" s="28">
        <f t="shared" si="1"/>
        <v>0</v>
      </c>
      <c r="Q123" s="67"/>
    </row>
    <row r="124" spans="1:17" x14ac:dyDescent="0.25">
      <c r="A124" s="23"/>
      <c r="B124" s="36" t="s">
        <v>124</v>
      </c>
      <c r="C124" s="25" t="s">
        <v>133</v>
      </c>
      <c r="D124" s="26">
        <f>COUNTIFS('[1]TOTAL SUSPEK'!$F:$F,"Raji")</f>
        <v>0</v>
      </c>
      <c r="E124" s="29"/>
      <c r="F124" s="30"/>
      <c r="G124" s="30"/>
      <c r="H124" s="30"/>
      <c r="I124" s="30"/>
      <c r="J124" s="30"/>
      <c r="K124" s="31"/>
      <c r="L124" s="31"/>
      <c r="M124" s="31"/>
      <c r="P124" s="28">
        <f t="shared" si="1"/>
        <v>0</v>
      </c>
      <c r="Q124" s="67"/>
    </row>
    <row r="125" spans="1:17" x14ac:dyDescent="0.25">
      <c r="A125" s="23"/>
      <c r="B125" s="36" t="s">
        <v>124</v>
      </c>
      <c r="C125" s="25" t="s">
        <v>134</v>
      </c>
      <c r="D125" s="26">
        <f>COUNTIFS('[1]TOTAL SUSPEK'!$F:$F,"Mulyorejo")</f>
        <v>0</v>
      </c>
      <c r="E125" s="29"/>
      <c r="F125" s="30"/>
      <c r="G125" s="30"/>
      <c r="H125" s="30"/>
      <c r="I125" s="30"/>
      <c r="J125" s="30"/>
      <c r="K125" s="31"/>
      <c r="L125" s="31"/>
      <c r="M125" s="31"/>
      <c r="P125" s="28">
        <f t="shared" si="1"/>
        <v>0</v>
      </c>
      <c r="Q125" s="67"/>
    </row>
    <row r="126" spans="1:17" x14ac:dyDescent="0.25">
      <c r="A126" s="23"/>
      <c r="B126" s="36" t="s">
        <v>124</v>
      </c>
      <c r="C126" s="25" t="s">
        <v>135</v>
      </c>
      <c r="D126" s="26">
        <f>COUNTIFS('[1]TOTAL SUSPEK'!$F:$F,"Sedo")</f>
        <v>0</v>
      </c>
      <c r="E126" s="29"/>
      <c r="F126" s="30"/>
      <c r="G126" s="30"/>
      <c r="H126" s="30"/>
      <c r="I126" s="30"/>
      <c r="J126" s="30"/>
      <c r="K126" s="31"/>
      <c r="L126" s="31"/>
      <c r="M126" s="31"/>
      <c r="P126" s="28">
        <f t="shared" si="1"/>
        <v>0</v>
      </c>
      <c r="Q126" s="67"/>
    </row>
    <row r="127" spans="1:17" x14ac:dyDescent="0.25">
      <c r="A127" s="23"/>
      <c r="B127" s="36" t="s">
        <v>124</v>
      </c>
      <c r="C127" s="43" t="s">
        <v>136</v>
      </c>
      <c r="D127" s="26">
        <f>COUNTIFS('[1]TOTAL SUSPEK'!$F:$F,"Bolo")</f>
        <v>0</v>
      </c>
      <c r="E127" s="29"/>
      <c r="F127" s="30"/>
      <c r="G127" s="30"/>
      <c r="H127" s="30"/>
      <c r="I127" s="30"/>
      <c r="J127" s="30"/>
      <c r="K127" s="31"/>
      <c r="L127" s="31"/>
      <c r="M127" s="31"/>
      <c r="P127" s="28">
        <f t="shared" si="1"/>
        <v>0</v>
      </c>
      <c r="Q127" s="67"/>
    </row>
    <row r="128" spans="1:17" x14ac:dyDescent="0.25">
      <c r="A128" s="23"/>
      <c r="B128" s="36" t="s">
        <v>124</v>
      </c>
      <c r="C128" s="25" t="s">
        <v>137</v>
      </c>
      <c r="D128" s="26">
        <f>COUNTIFS('[1]TOTAL SUSPEK'!$F:$F,"Katonsari")</f>
        <v>0</v>
      </c>
      <c r="E128" s="29"/>
      <c r="F128" s="30"/>
      <c r="G128" s="30"/>
      <c r="H128" s="30"/>
      <c r="I128" s="30"/>
      <c r="J128" s="30"/>
      <c r="K128" s="31"/>
      <c r="L128" s="31"/>
      <c r="M128" s="31"/>
      <c r="P128" s="28">
        <f t="shared" si="1"/>
        <v>0</v>
      </c>
      <c r="Q128" s="67"/>
    </row>
    <row r="129" spans="1:17" x14ac:dyDescent="0.25">
      <c r="A129" s="23"/>
      <c r="B129" s="36" t="s">
        <v>124</v>
      </c>
      <c r="C129" s="25" t="s">
        <v>138</v>
      </c>
      <c r="D129" s="26">
        <f>COUNTIFS('[1]TOTAL SUSPEK'!$F:$F,"Kalikondang")</f>
        <v>0</v>
      </c>
      <c r="E129" s="29"/>
      <c r="F129" s="30"/>
      <c r="G129" s="30"/>
      <c r="H129" s="30"/>
      <c r="I129" s="30"/>
      <c r="J129" s="30"/>
      <c r="K129" s="31"/>
      <c r="L129" s="31"/>
      <c r="M129" s="31"/>
      <c r="P129" s="28">
        <f t="shared" si="1"/>
        <v>0</v>
      </c>
      <c r="Q129" s="67"/>
    </row>
    <row r="130" spans="1:17" x14ac:dyDescent="0.25">
      <c r="A130" s="23"/>
      <c r="B130" s="36" t="s">
        <v>124</v>
      </c>
      <c r="C130" s="25" t="s">
        <v>139</v>
      </c>
      <c r="D130" s="26">
        <f>COUNTIFS('[1]TOTAL SUSPEK'!$F:$F,"Cabean")</f>
        <v>0</v>
      </c>
      <c r="E130" s="29"/>
      <c r="F130" s="30"/>
      <c r="G130" s="30"/>
      <c r="H130" s="30"/>
      <c r="I130" s="30"/>
      <c r="J130" s="30"/>
      <c r="K130" s="31"/>
      <c r="L130" s="31"/>
      <c r="M130" s="31"/>
      <c r="P130" s="28">
        <f t="shared" si="1"/>
        <v>0</v>
      </c>
      <c r="Q130" s="67"/>
    </row>
    <row r="131" spans="1:17" x14ac:dyDescent="0.25">
      <c r="A131" s="23"/>
      <c r="B131" s="36" t="s">
        <v>124</v>
      </c>
      <c r="C131" s="25" t="s">
        <v>140</v>
      </c>
      <c r="D131" s="26">
        <f>COUNTIFS('[1]TOTAL SUSPEK'!$F:$F,"Tempuran")</f>
        <v>0</v>
      </c>
      <c r="E131" s="29"/>
      <c r="F131" s="30"/>
      <c r="G131" s="30"/>
      <c r="H131" s="30"/>
      <c r="I131" s="30"/>
      <c r="J131" s="30"/>
      <c r="K131" s="31"/>
      <c r="L131" s="31"/>
      <c r="M131" s="31"/>
      <c r="P131" s="28">
        <f t="shared" si="1"/>
        <v>0</v>
      </c>
      <c r="Q131" s="67"/>
    </row>
    <row r="132" spans="1:17" x14ac:dyDescent="0.25">
      <c r="A132" s="23"/>
      <c r="B132" s="36" t="s">
        <v>124</v>
      </c>
      <c r="C132" s="25" t="s">
        <v>141</v>
      </c>
      <c r="D132" s="26">
        <f>COUNTIFS('[1]TOTAL SUSPEK'!$F:$F,"Donorojo")</f>
        <v>0</v>
      </c>
      <c r="E132" s="29"/>
      <c r="F132" s="30"/>
      <c r="G132" s="30"/>
      <c r="H132" s="30"/>
      <c r="I132" s="30"/>
      <c r="J132" s="30"/>
      <c r="K132" s="31"/>
      <c r="L132" s="31"/>
      <c r="M132" s="31"/>
      <c r="P132" s="28">
        <f t="shared" si="1"/>
        <v>0</v>
      </c>
      <c r="Q132" s="67"/>
    </row>
    <row r="133" spans="1:17" x14ac:dyDescent="0.25">
      <c r="A133" s="23"/>
      <c r="B133" s="36" t="s">
        <v>124</v>
      </c>
      <c r="C133" s="25" t="s">
        <v>142</v>
      </c>
      <c r="D133" s="26">
        <f>COUNTIFS('[1]TOTAL SUSPEK'!$F:$F,"Mangunjiwan")</f>
        <v>0</v>
      </c>
      <c r="E133" s="29"/>
      <c r="F133" s="30"/>
      <c r="G133" s="30"/>
      <c r="H133" s="30"/>
      <c r="I133" s="30"/>
      <c r="J133" s="30"/>
      <c r="K133" s="31"/>
      <c r="L133" s="31"/>
      <c r="M133" s="31"/>
      <c r="P133" s="28">
        <f t="shared" si="1"/>
        <v>0</v>
      </c>
      <c r="Q133" s="67"/>
    </row>
    <row r="134" spans="1:17" x14ac:dyDescent="0.25">
      <c r="A134" s="23">
        <v>8</v>
      </c>
      <c r="B134" s="36" t="s">
        <v>143</v>
      </c>
      <c r="C134" s="25" t="s">
        <v>144</v>
      </c>
      <c r="D134" s="26">
        <f>COUNTIFS('[1]TOTAL SUSPEK'!$F:$F,"Morodemak")</f>
        <v>0</v>
      </c>
      <c r="E134" s="29" t="e">
        <f>SUM(#REF!)</f>
        <v>#REF!</v>
      </c>
      <c r="F134" s="29" t="e">
        <f>SUM(#REF!)</f>
        <v>#REF!</v>
      </c>
      <c r="G134" s="29" t="e">
        <f>SUM(#REF!)</f>
        <v>#REF!</v>
      </c>
      <c r="H134" s="29" t="e">
        <f>SUM(#REF!)</f>
        <v>#REF!</v>
      </c>
      <c r="I134" s="29" t="e">
        <f>SUM(#REF!)</f>
        <v>#REF!</v>
      </c>
      <c r="J134" s="29" t="e">
        <f>SUM(#REF!)</f>
        <v>#REF!</v>
      </c>
      <c r="K134" s="29" t="e">
        <f>SUM(#REF!)</f>
        <v>#REF!</v>
      </c>
      <c r="L134" s="29">
        <f>SUM(D134:D154)</f>
        <v>0</v>
      </c>
      <c r="M134" s="29" t="e">
        <f>SUM(#REF!)</f>
        <v>#REF!</v>
      </c>
      <c r="P134" s="28">
        <f t="shared" si="1"/>
        <v>0</v>
      </c>
      <c r="Q134" s="69">
        <f>SUM(P134:P154)</f>
        <v>0</v>
      </c>
    </row>
    <row r="135" spans="1:17" x14ac:dyDescent="0.25">
      <c r="A135" s="23"/>
      <c r="B135" s="36" t="s">
        <v>143</v>
      </c>
      <c r="C135" s="25" t="s">
        <v>145</v>
      </c>
      <c r="D135" s="26">
        <f>COUNTIFS('[1]TOTAL SUSPEK'!$F:$F,"Purworejo")</f>
        <v>0</v>
      </c>
      <c r="E135" s="29"/>
      <c r="F135" s="30"/>
      <c r="G135" s="30"/>
      <c r="H135" s="30"/>
      <c r="I135" s="30"/>
      <c r="J135" s="30"/>
      <c r="K135" s="31"/>
      <c r="L135" s="31"/>
      <c r="M135" s="31"/>
      <c r="P135" s="28">
        <f t="shared" si="1"/>
        <v>0</v>
      </c>
      <c r="Q135" s="67"/>
    </row>
    <row r="136" spans="1:17" x14ac:dyDescent="0.25">
      <c r="A136" s="23"/>
      <c r="B136" s="36" t="s">
        <v>143</v>
      </c>
      <c r="C136" s="25" t="s">
        <v>22</v>
      </c>
      <c r="D136" s="26">
        <f>COUNTIFS('[1]TOTAL SUSPEK'!$F:$F,"Sumberejo",'[1]TOTAL SUSPEK'!$E:$E,"bonang")</f>
        <v>0</v>
      </c>
      <c r="E136" s="29"/>
      <c r="F136" s="30"/>
      <c r="G136" s="30"/>
      <c r="H136" s="30"/>
      <c r="I136" s="30"/>
      <c r="J136" s="30"/>
      <c r="K136" s="31"/>
      <c r="L136" s="31"/>
      <c r="M136" s="31"/>
      <c r="P136" s="28">
        <f t="shared" ref="P136:P199" si="2">SUM(D136:D136)</f>
        <v>0</v>
      </c>
      <c r="Q136" s="67"/>
    </row>
    <row r="137" spans="1:17" x14ac:dyDescent="0.25">
      <c r="A137" s="23"/>
      <c r="B137" s="36" t="s">
        <v>143</v>
      </c>
      <c r="C137" s="25" t="s">
        <v>146</v>
      </c>
      <c r="D137" s="26">
        <f>COUNTIFS('[1]TOTAL SUSPEK'!$F:$F,"Gebangarum")</f>
        <v>0</v>
      </c>
      <c r="E137" s="29"/>
      <c r="F137" s="30"/>
      <c r="G137" s="30"/>
      <c r="H137" s="30"/>
      <c r="I137" s="30"/>
      <c r="J137" s="30"/>
      <c r="K137" s="31"/>
      <c r="L137" s="31"/>
      <c r="M137" s="31"/>
      <c r="P137" s="28">
        <f t="shared" si="2"/>
        <v>0</v>
      </c>
      <c r="Q137" s="67"/>
    </row>
    <row r="138" spans="1:17" x14ac:dyDescent="0.25">
      <c r="A138" s="23"/>
      <c r="B138" s="36" t="s">
        <v>143</v>
      </c>
      <c r="C138" s="25" t="s">
        <v>147</v>
      </c>
      <c r="D138" s="26">
        <f>COUNTIFS('[1]TOTAL SUSPEK'!$F:$F,"Gebang")</f>
        <v>0</v>
      </c>
      <c r="E138" s="29"/>
      <c r="F138" s="30"/>
      <c r="G138" s="30"/>
      <c r="H138" s="30"/>
      <c r="I138" s="30"/>
      <c r="J138" s="30"/>
      <c r="K138" s="31"/>
      <c r="L138" s="31"/>
      <c r="M138" s="31"/>
      <c r="P138" s="28">
        <f t="shared" si="2"/>
        <v>0</v>
      </c>
      <c r="Q138" s="67"/>
    </row>
    <row r="139" spans="1:17" x14ac:dyDescent="0.25">
      <c r="A139" s="23"/>
      <c r="B139" s="36" t="s">
        <v>143</v>
      </c>
      <c r="C139" s="25" t="s">
        <v>148</v>
      </c>
      <c r="D139" s="26">
        <f>COUNTIFS('[1]TOTAL SUSPEK'!$F:$F,"Kembangan")</f>
        <v>0</v>
      </c>
      <c r="E139" s="29"/>
      <c r="F139" s="30"/>
      <c r="G139" s="30"/>
      <c r="H139" s="30"/>
      <c r="I139" s="30"/>
      <c r="J139" s="30"/>
      <c r="K139" s="31"/>
      <c r="L139" s="31"/>
      <c r="M139" s="31"/>
      <c r="P139" s="28">
        <f t="shared" si="2"/>
        <v>0</v>
      </c>
      <c r="Q139" s="67"/>
    </row>
    <row r="140" spans="1:17" x14ac:dyDescent="0.25">
      <c r="A140" s="23"/>
      <c r="B140" s="36" t="s">
        <v>143</v>
      </c>
      <c r="C140" s="25" t="s">
        <v>72</v>
      </c>
      <c r="D140" s="26">
        <f>COUNTIFS('[1]TOTAL SUSPEK'!$F:$F,"Karangrejo",'[1]TOTAL SUSPEK'!$E:$E,"bonang")</f>
        <v>0</v>
      </c>
      <c r="E140" s="29"/>
      <c r="F140" s="30"/>
      <c r="G140" s="30"/>
      <c r="H140" s="30"/>
      <c r="I140" s="30"/>
      <c r="J140" s="30"/>
      <c r="K140" s="31"/>
      <c r="L140" s="31"/>
      <c r="M140" s="31"/>
      <c r="P140" s="28">
        <f t="shared" si="2"/>
        <v>0</v>
      </c>
      <c r="Q140" s="67"/>
    </row>
    <row r="141" spans="1:17" x14ac:dyDescent="0.25">
      <c r="A141" s="23"/>
      <c r="B141" s="36" t="s">
        <v>143</v>
      </c>
      <c r="C141" s="25" t="s">
        <v>149</v>
      </c>
      <c r="D141" s="26">
        <f>COUNTIFS('[1]TOTAL SUSPEK'!$F:$F,"Sukodono")</f>
        <v>0</v>
      </c>
      <c r="E141" s="29"/>
      <c r="F141" s="30"/>
      <c r="G141" s="30"/>
      <c r="H141" s="30"/>
      <c r="I141" s="30"/>
      <c r="J141" s="30"/>
      <c r="K141" s="31"/>
      <c r="L141" s="31"/>
      <c r="M141" s="31"/>
      <c r="P141" s="28">
        <f t="shared" si="2"/>
        <v>0</v>
      </c>
      <c r="Q141" s="67"/>
    </row>
    <row r="142" spans="1:17" x14ac:dyDescent="0.25">
      <c r="A142" s="23"/>
      <c r="B142" s="36" t="s">
        <v>143</v>
      </c>
      <c r="C142" s="25" t="s">
        <v>150</v>
      </c>
      <c r="D142" s="26">
        <f>COUNTIFS('[1]TOTAL SUSPEK'!$F:$F,"Tlogoboyo")</f>
        <v>0</v>
      </c>
      <c r="E142" s="29"/>
      <c r="F142" s="30"/>
      <c r="G142" s="30"/>
      <c r="H142" s="30"/>
      <c r="I142" s="30"/>
      <c r="J142" s="30"/>
      <c r="K142" s="31"/>
      <c r="L142" s="31"/>
      <c r="M142" s="31"/>
      <c r="P142" s="28">
        <f t="shared" si="2"/>
        <v>0</v>
      </c>
      <c r="Q142" s="67"/>
    </row>
    <row r="143" spans="1:17" x14ac:dyDescent="0.25">
      <c r="A143" s="23"/>
      <c r="B143" s="36" t="s">
        <v>143</v>
      </c>
      <c r="C143" s="25" t="s">
        <v>151</v>
      </c>
      <c r="D143" s="26">
        <f>COUNTIFS('[1]TOTAL SUSPEK'!$F:$F,"Margolinduk")</f>
        <v>0</v>
      </c>
      <c r="E143" s="29"/>
      <c r="F143" s="30"/>
      <c r="G143" s="30"/>
      <c r="H143" s="30"/>
      <c r="I143" s="30"/>
      <c r="J143" s="30"/>
      <c r="K143" s="31"/>
      <c r="L143" s="31"/>
      <c r="M143" s="31"/>
      <c r="P143" s="28">
        <f t="shared" si="2"/>
        <v>0</v>
      </c>
      <c r="Q143" s="67"/>
    </row>
    <row r="144" spans="1:17" x14ac:dyDescent="0.25">
      <c r="A144" s="23"/>
      <c r="B144" s="36" t="s">
        <v>143</v>
      </c>
      <c r="C144" s="25" t="s">
        <v>152</v>
      </c>
      <c r="D144" s="26">
        <f>COUNTIFS('[1]TOTAL SUSPEK'!$F:$F,"Tridonorejo")</f>
        <v>0</v>
      </c>
      <c r="E144" s="29"/>
      <c r="F144" s="30"/>
      <c r="G144" s="30"/>
      <c r="H144" s="30"/>
      <c r="I144" s="30"/>
      <c r="J144" s="30"/>
      <c r="K144" s="31"/>
      <c r="L144" s="31"/>
      <c r="M144" s="31"/>
      <c r="P144" s="28">
        <f t="shared" si="2"/>
        <v>0</v>
      </c>
      <c r="Q144" s="67"/>
    </row>
    <row r="145" spans="1:17" x14ac:dyDescent="0.25">
      <c r="A145" s="23"/>
      <c r="B145" s="36" t="s">
        <v>143</v>
      </c>
      <c r="C145" s="25" t="s">
        <v>153</v>
      </c>
      <c r="D145" s="26">
        <f>COUNTIFS('[1]TOTAL SUSPEK'!$F:$F,"Wonosari")</f>
        <v>0</v>
      </c>
      <c r="E145" s="29"/>
      <c r="F145" s="30"/>
      <c r="G145" s="30"/>
      <c r="H145" s="30"/>
      <c r="I145" s="30"/>
      <c r="J145" s="30"/>
      <c r="K145" s="31"/>
      <c r="L145" s="31"/>
      <c r="M145" s="31"/>
      <c r="P145" s="28">
        <f t="shared" si="2"/>
        <v>0</v>
      </c>
      <c r="Q145" s="67"/>
    </row>
    <row r="146" spans="1:17" x14ac:dyDescent="0.25">
      <c r="A146" s="23"/>
      <c r="B146" s="36" t="s">
        <v>143</v>
      </c>
      <c r="C146" s="25" t="s">
        <v>154</v>
      </c>
      <c r="D146" s="26">
        <f>COUNTIFS('[1]TOTAL SUSPEK'!$F:$F,"Jatirogo")</f>
        <v>0</v>
      </c>
      <c r="E146" s="29"/>
      <c r="F146" s="30"/>
      <c r="G146" s="30"/>
      <c r="H146" s="30"/>
      <c r="I146" s="30"/>
      <c r="J146" s="30"/>
      <c r="K146" s="31"/>
      <c r="L146" s="31"/>
      <c r="M146" s="31"/>
      <c r="P146" s="28">
        <f t="shared" si="2"/>
        <v>0</v>
      </c>
      <c r="Q146" s="67"/>
    </row>
    <row r="147" spans="1:17" x14ac:dyDescent="0.25">
      <c r="A147" s="23"/>
      <c r="B147" s="36" t="s">
        <v>143</v>
      </c>
      <c r="C147" s="25" t="s">
        <v>155</v>
      </c>
      <c r="D147" s="26">
        <f>COUNTIFS('[1]TOTAL SUSPEK'!$F:$F,"Poncoharjo")</f>
        <v>0</v>
      </c>
      <c r="E147" s="29"/>
      <c r="F147" s="30"/>
      <c r="G147" s="30"/>
      <c r="H147" s="30"/>
      <c r="I147" s="30"/>
      <c r="J147" s="30"/>
      <c r="K147" s="31"/>
      <c r="L147" s="31"/>
      <c r="M147" s="31"/>
      <c r="P147" s="28">
        <f t="shared" si="2"/>
        <v>0</v>
      </c>
      <c r="Q147" s="67"/>
    </row>
    <row r="148" spans="1:17" x14ac:dyDescent="0.25">
      <c r="A148" s="23"/>
      <c r="B148" s="36" t="s">
        <v>143</v>
      </c>
      <c r="C148" s="25" t="s">
        <v>156</v>
      </c>
      <c r="D148" s="26">
        <f>COUNTIFS('[1]TOTAL SUSPEK'!$F:$F,"Jali")</f>
        <v>0</v>
      </c>
      <c r="E148" s="29"/>
      <c r="F148" s="30"/>
      <c r="G148" s="30"/>
      <c r="H148" s="30"/>
      <c r="I148" s="30"/>
      <c r="J148" s="30"/>
      <c r="K148" s="31"/>
      <c r="L148" s="31"/>
      <c r="M148" s="31"/>
      <c r="P148" s="28">
        <f t="shared" si="2"/>
        <v>0</v>
      </c>
      <c r="Q148" s="67"/>
    </row>
    <row r="149" spans="1:17" x14ac:dyDescent="0.25">
      <c r="A149" s="23"/>
      <c r="B149" s="36" t="s">
        <v>143</v>
      </c>
      <c r="C149" s="25" t="s">
        <v>157</v>
      </c>
      <c r="D149" s="26">
        <f>COUNTIFS('[1]TOTAL SUSPEK'!$F:$F,"Krajanbogo")</f>
        <v>0</v>
      </c>
      <c r="E149" s="29"/>
      <c r="F149" s="30"/>
      <c r="G149" s="30"/>
      <c r="H149" s="30"/>
      <c r="I149" s="30"/>
      <c r="J149" s="30"/>
      <c r="K149" s="31"/>
      <c r="L149" s="31"/>
      <c r="M149" s="31"/>
      <c r="P149" s="28">
        <f t="shared" si="2"/>
        <v>0</v>
      </c>
      <c r="Q149" s="67"/>
    </row>
    <row r="150" spans="1:17" x14ac:dyDescent="0.25">
      <c r="A150" s="23"/>
      <c r="B150" s="36" t="s">
        <v>143</v>
      </c>
      <c r="C150" s="25" t="s">
        <v>158</v>
      </c>
      <c r="D150" s="26">
        <f>COUNTIFS('[1]TOTAL SUSPEK'!$F:$F,"Serangan")</f>
        <v>0</v>
      </c>
      <c r="E150" s="29"/>
      <c r="F150" s="30"/>
      <c r="G150" s="30"/>
      <c r="H150" s="30"/>
      <c r="I150" s="30"/>
      <c r="J150" s="30"/>
      <c r="K150" s="31"/>
      <c r="L150" s="31"/>
      <c r="M150" s="31"/>
      <c r="P150" s="28">
        <f t="shared" si="2"/>
        <v>0</v>
      </c>
      <c r="Q150" s="67"/>
    </row>
    <row r="151" spans="1:17" x14ac:dyDescent="0.25">
      <c r="A151" s="23"/>
      <c r="B151" s="36" t="s">
        <v>143</v>
      </c>
      <c r="C151" s="43" t="s">
        <v>159</v>
      </c>
      <c r="D151" s="26">
        <f>COUNTIFS('[1]TOTAL SUSPEK'!$F:$F,"Betahwalang")</f>
        <v>0</v>
      </c>
      <c r="E151" s="29"/>
      <c r="F151" s="30"/>
      <c r="G151" s="30"/>
      <c r="H151" s="30"/>
      <c r="I151" s="30"/>
      <c r="J151" s="30"/>
      <c r="K151" s="31"/>
      <c r="L151" s="31"/>
      <c r="M151" s="31"/>
      <c r="P151" s="28">
        <f t="shared" si="2"/>
        <v>0</v>
      </c>
      <c r="Q151" s="67"/>
    </row>
    <row r="152" spans="1:17" x14ac:dyDescent="0.25">
      <c r="A152" s="23"/>
      <c r="B152" s="36" t="s">
        <v>143</v>
      </c>
      <c r="C152" s="25" t="s">
        <v>160</v>
      </c>
      <c r="D152" s="26">
        <f>COUNTIFS('[1]TOTAL SUSPEK'!$F:$F,"Jatimulyo")</f>
        <v>0</v>
      </c>
      <c r="E152" s="29"/>
      <c r="F152" s="30"/>
      <c r="G152" s="30"/>
      <c r="H152" s="30"/>
      <c r="I152" s="30"/>
      <c r="J152" s="30"/>
      <c r="K152" s="31"/>
      <c r="L152" s="31"/>
      <c r="M152" s="31"/>
      <c r="P152" s="28">
        <f t="shared" si="2"/>
        <v>0</v>
      </c>
      <c r="Q152" s="67"/>
    </row>
    <row r="153" spans="1:17" x14ac:dyDescent="0.25">
      <c r="A153" s="23"/>
      <c r="B153" s="36" t="s">
        <v>143</v>
      </c>
      <c r="C153" s="25" t="s">
        <v>161</v>
      </c>
      <c r="D153" s="26">
        <f>COUNTIFS('[1]TOTAL SUSPEK'!$F:$F,"Weding")</f>
        <v>0</v>
      </c>
      <c r="E153" s="29"/>
      <c r="F153" s="30"/>
      <c r="G153" s="30"/>
      <c r="H153" s="30"/>
      <c r="I153" s="30"/>
      <c r="J153" s="30"/>
      <c r="K153" s="31"/>
      <c r="L153" s="31"/>
      <c r="M153" s="31"/>
      <c r="P153" s="28">
        <f t="shared" si="2"/>
        <v>0</v>
      </c>
      <c r="Q153" s="67"/>
    </row>
    <row r="154" spans="1:17" x14ac:dyDescent="0.25">
      <c r="A154" s="23"/>
      <c r="B154" s="36" t="s">
        <v>143</v>
      </c>
      <c r="C154" s="25" t="s">
        <v>162</v>
      </c>
      <c r="D154" s="26">
        <f>COUNTIFS('[1]TOTAL SUSPEK'!$F:$F,"Bonangrejo")</f>
        <v>0</v>
      </c>
      <c r="E154" s="29"/>
      <c r="F154" s="30"/>
      <c r="G154" s="30"/>
      <c r="H154" s="30"/>
      <c r="I154" s="30"/>
      <c r="J154" s="30"/>
      <c r="K154" s="31"/>
      <c r="L154" s="31"/>
      <c r="M154" s="31"/>
      <c r="P154" s="28">
        <f t="shared" si="2"/>
        <v>0</v>
      </c>
      <c r="Q154" s="67"/>
    </row>
    <row r="155" spans="1:17" ht="15" customHeight="1" x14ac:dyDescent="0.25">
      <c r="A155" s="23">
        <v>9</v>
      </c>
      <c r="B155" s="36" t="s">
        <v>163</v>
      </c>
      <c r="C155" s="25" t="s">
        <v>164</v>
      </c>
      <c r="D155" s="26">
        <f>COUNTIFS('[1]TOTAL SUSPEK'!$F:$F,"Temuroso")</f>
        <v>0</v>
      </c>
      <c r="E155" s="29" t="e">
        <f>SUM(#REF!)</f>
        <v>#REF!</v>
      </c>
      <c r="F155" s="29" t="e">
        <f>SUM(#REF!)</f>
        <v>#REF!</v>
      </c>
      <c r="G155" s="29" t="e">
        <f>SUM(#REF!)</f>
        <v>#REF!</v>
      </c>
      <c r="H155" s="29" t="e">
        <f>SUM(#REF!)</f>
        <v>#REF!</v>
      </c>
      <c r="I155" s="29" t="e">
        <f>SUM(#REF!)</f>
        <v>#REF!</v>
      </c>
      <c r="J155" s="29" t="e">
        <f>SUM(#REF!)</f>
        <v>#REF!</v>
      </c>
      <c r="K155" s="29" t="e">
        <f>SUM(#REF!)</f>
        <v>#REF!</v>
      </c>
      <c r="L155" s="29">
        <f>SUM(D155:D174)</f>
        <v>0</v>
      </c>
      <c r="M155" s="29" t="e">
        <f>SUM(#REF!)</f>
        <v>#REF!</v>
      </c>
      <c r="P155" s="28">
        <f t="shared" si="2"/>
        <v>0</v>
      </c>
      <c r="Q155" s="69">
        <f>SUM(P155:P174)</f>
        <v>0</v>
      </c>
    </row>
    <row r="156" spans="1:17" ht="15" customHeight="1" x14ac:dyDescent="0.25">
      <c r="A156" s="23"/>
      <c r="B156" s="36" t="s">
        <v>163</v>
      </c>
      <c r="C156" s="25" t="s">
        <v>165</v>
      </c>
      <c r="D156" s="26">
        <f>COUNTIFS('[1]TOTAL SUSPEK'!$F:$F,"Turitempel")</f>
        <v>0</v>
      </c>
      <c r="E156" s="29"/>
      <c r="F156" s="30"/>
      <c r="G156" s="30"/>
      <c r="H156" s="30"/>
      <c r="I156" s="30"/>
      <c r="J156" s="30"/>
      <c r="K156" s="31"/>
      <c r="L156" s="31"/>
      <c r="M156" s="31"/>
      <c r="P156" s="28">
        <f t="shared" si="2"/>
        <v>0</v>
      </c>
      <c r="Q156" s="67"/>
    </row>
    <row r="157" spans="1:17" ht="15" customHeight="1" x14ac:dyDescent="0.25">
      <c r="A157" s="23"/>
      <c r="B157" s="36" t="s">
        <v>163</v>
      </c>
      <c r="C157" s="25" t="s">
        <v>166</v>
      </c>
      <c r="D157" s="26">
        <f>COUNTIFS('[1]TOTAL SUSPEK'!$F:$F,"Tlogoweru")</f>
        <v>0</v>
      </c>
      <c r="E157" s="29"/>
      <c r="F157" s="30"/>
      <c r="G157" s="30"/>
      <c r="H157" s="30"/>
      <c r="I157" s="30"/>
      <c r="J157" s="30"/>
      <c r="K157" s="31"/>
      <c r="L157" s="31"/>
      <c r="M157" s="31"/>
      <c r="P157" s="28">
        <f t="shared" si="2"/>
        <v>0</v>
      </c>
      <c r="Q157" s="67"/>
    </row>
    <row r="158" spans="1:17" ht="15" customHeight="1" x14ac:dyDescent="0.25">
      <c r="A158" s="23"/>
      <c r="B158" s="36" t="s">
        <v>163</v>
      </c>
      <c r="C158" s="25" t="s">
        <v>167</v>
      </c>
      <c r="D158" s="26">
        <f>COUNTIFS('[1]TOTAL SUSPEK'!$F:$F,"Trimulyo")</f>
        <v>0</v>
      </c>
      <c r="E158" s="29"/>
      <c r="F158" s="30"/>
      <c r="G158" s="30"/>
      <c r="H158" s="30"/>
      <c r="I158" s="30"/>
      <c r="J158" s="30"/>
      <c r="K158" s="31"/>
      <c r="L158" s="31"/>
      <c r="M158" s="31"/>
      <c r="P158" s="28">
        <f t="shared" si="2"/>
        <v>0</v>
      </c>
      <c r="Q158" s="67"/>
    </row>
    <row r="159" spans="1:17" ht="15" customHeight="1" x14ac:dyDescent="0.25">
      <c r="A159" s="23"/>
      <c r="B159" s="36" t="s">
        <v>163</v>
      </c>
      <c r="C159" s="25" t="s">
        <v>168</v>
      </c>
      <c r="D159" s="26">
        <f>COUNTIFS('[1]TOTAL SUSPEK'!$F:$F,"Bakalrejo")</f>
        <v>0</v>
      </c>
      <c r="E159" s="29"/>
      <c r="F159" s="30"/>
      <c r="G159" s="30"/>
      <c r="H159" s="30"/>
      <c r="I159" s="30"/>
      <c r="J159" s="30"/>
      <c r="K159" s="31"/>
      <c r="L159" s="31"/>
      <c r="M159" s="31"/>
      <c r="P159" s="28">
        <f t="shared" si="2"/>
        <v>0</v>
      </c>
      <c r="Q159" s="67"/>
    </row>
    <row r="160" spans="1:17" ht="15" customHeight="1" x14ac:dyDescent="0.25">
      <c r="A160" s="23"/>
      <c r="B160" s="36" t="s">
        <v>163</v>
      </c>
      <c r="C160" s="25" t="s">
        <v>69</v>
      </c>
      <c r="D160" s="26">
        <f>COUNTIFS('[1]TOTAL SUSPEK'!$F:$F,"Tlogorejo",'[1]TOTAL SUSPEK'!$E:$E,"guntur")</f>
        <v>0</v>
      </c>
      <c r="E160" s="29"/>
      <c r="F160" s="30"/>
      <c r="G160" s="30"/>
      <c r="H160" s="30"/>
      <c r="I160" s="30"/>
      <c r="J160" s="30"/>
      <c r="K160" s="31"/>
      <c r="L160" s="31"/>
      <c r="M160" s="31"/>
      <c r="P160" s="28">
        <f t="shared" si="2"/>
        <v>0</v>
      </c>
      <c r="Q160" s="67"/>
    </row>
    <row r="161" spans="1:17" ht="15" customHeight="1" x14ac:dyDescent="0.25">
      <c r="A161" s="23"/>
      <c r="B161" s="36" t="s">
        <v>163</v>
      </c>
      <c r="C161" s="25" t="s">
        <v>169</v>
      </c>
      <c r="D161" s="26">
        <f>COUNTIFS('[1]TOTAL SUSPEK'!$F:$F,"Bumiharjo")</f>
        <v>0</v>
      </c>
      <c r="E161" s="29"/>
      <c r="F161" s="30"/>
      <c r="G161" s="30"/>
      <c r="H161" s="30"/>
      <c r="I161" s="30"/>
      <c r="J161" s="30"/>
      <c r="K161" s="31"/>
      <c r="L161" s="31"/>
      <c r="M161" s="31"/>
      <c r="P161" s="28">
        <f t="shared" si="2"/>
        <v>0</v>
      </c>
      <c r="Q161" s="67"/>
    </row>
    <row r="162" spans="1:17" ht="15" customHeight="1" x14ac:dyDescent="0.25">
      <c r="A162" s="23"/>
      <c r="B162" s="36" t="s">
        <v>163</v>
      </c>
      <c r="C162" s="25" t="s">
        <v>170</v>
      </c>
      <c r="D162" s="26">
        <f>COUNTIFS('[1]TOTAL SUSPEK'!$F:$F,"Sidoharjo")</f>
        <v>0</v>
      </c>
      <c r="E162" s="29"/>
      <c r="F162" s="30"/>
      <c r="G162" s="30"/>
      <c r="H162" s="30"/>
      <c r="I162" s="30"/>
      <c r="J162" s="30"/>
      <c r="K162" s="31"/>
      <c r="L162" s="31"/>
      <c r="M162" s="31"/>
      <c r="P162" s="28">
        <f t="shared" si="2"/>
        <v>0</v>
      </c>
      <c r="Q162" s="67"/>
    </row>
    <row r="163" spans="1:17" ht="15" customHeight="1" x14ac:dyDescent="0.25">
      <c r="A163" s="23"/>
      <c r="B163" s="36" t="s">
        <v>163</v>
      </c>
      <c r="C163" s="25" t="s">
        <v>171</v>
      </c>
      <c r="D163" s="26">
        <f>COUNTIFS('[1]TOTAL SUSPEK'!$F:$F,"Bogosari")</f>
        <v>0</v>
      </c>
      <c r="E163" s="29"/>
      <c r="F163" s="30"/>
      <c r="G163" s="30"/>
      <c r="H163" s="30"/>
      <c r="I163" s="30"/>
      <c r="J163" s="30"/>
      <c r="K163" s="31"/>
      <c r="L163" s="31"/>
      <c r="M163" s="31"/>
      <c r="P163" s="28">
        <f t="shared" si="2"/>
        <v>0</v>
      </c>
      <c r="Q163" s="67"/>
    </row>
    <row r="164" spans="1:17" ht="15" customHeight="1" x14ac:dyDescent="0.25">
      <c r="A164" s="23"/>
      <c r="B164" s="36" t="s">
        <v>163</v>
      </c>
      <c r="C164" s="25" t="s">
        <v>172</v>
      </c>
      <c r="D164" s="26">
        <f>COUNTIFS('[1]TOTAL SUSPEK'!$F:$F,"Guntur")</f>
        <v>0</v>
      </c>
      <c r="E164" s="29"/>
      <c r="F164" s="30"/>
      <c r="G164" s="30"/>
      <c r="H164" s="30"/>
      <c r="I164" s="30"/>
      <c r="J164" s="30"/>
      <c r="K164" s="31"/>
      <c r="L164" s="31"/>
      <c r="M164" s="31"/>
      <c r="P164" s="28">
        <f t="shared" si="2"/>
        <v>0</v>
      </c>
      <c r="Q164" s="67"/>
    </row>
    <row r="165" spans="1:17" ht="15" customHeight="1" x14ac:dyDescent="0.25">
      <c r="A165" s="23"/>
      <c r="B165" s="36" t="s">
        <v>163</v>
      </c>
      <c r="C165" s="25" t="s">
        <v>173</v>
      </c>
      <c r="D165" s="26">
        <f>COUNTIFS('[1]TOTAL SUSPEK'!$F:$F,"Blerong")</f>
        <v>0</v>
      </c>
      <c r="E165" s="29"/>
      <c r="F165" s="30"/>
      <c r="G165" s="30"/>
      <c r="H165" s="30"/>
      <c r="I165" s="30"/>
      <c r="J165" s="30"/>
      <c r="K165" s="31"/>
      <c r="L165" s="31"/>
      <c r="M165" s="31"/>
      <c r="P165" s="28">
        <f t="shared" si="2"/>
        <v>0</v>
      </c>
      <c r="Q165" s="67"/>
    </row>
    <row r="166" spans="1:17" ht="15" customHeight="1" x14ac:dyDescent="0.25">
      <c r="A166" s="23"/>
      <c r="B166" s="36" t="s">
        <v>163</v>
      </c>
      <c r="C166" s="25" t="s">
        <v>174</v>
      </c>
      <c r="D166" s="26">
        <f>COUNTIFS('[1]TOTAL SUSPEK'!$F:$F,"Pamongan")</f>
        <v>0</v>
      </c>
      <c r="E166" s="29"/>
      <c r="F166" s="30"/>
      <c r="G166" s="30"/>
      <c r="H166" s="30"/>
      <c r="I166" s="30"/>
      <c r="J166" s="30"/>
      <c r="K166" s="31"/>
      <c r="L166" s="31"/>
      <c r="M166" s="31"/>
      <c r="P166" s="28">
        <f t="shared" si="2"/>
        <v>0</v>
      </c>
      <c r="Q166" s="67"/>
    </row>
    <row r="167" spans="1:17" ht="15" customHeight="1" x14ac:dyDescent="0.25">
      <c r="A167" s="23"/>
      <c r="B167" s="36" t="s">
        <v>163</v>
      </c>
      <c r="C167" s="25" t="s">
        <v>175</v>
      </c>
      <c r="D167" s="26">
        <f>COUNTIFS('[1]TOTAL SUSPEK'!$F:$F,"Sukorejo")</f>
        <v>0</v>
      </c>
      <c r="E167" s="29"/>
      <c r="F167" s="30"/>
      <c r="G167" s="30"/>
      <c r="H167" s="30"/>
      <c r="I167" s="30"/>
      <c r="J167" s="30"/>
      <c r="K167" s="31"/>
      <c r="L167" s="31"/>
      <c r="M167" s="31"/>
      <c r="P167" s="28">
        <f t="shared" si="2"/>
        <v>0</v>
      </c>
      <c r="Q167" s="67"/>
    </row>
    <row r="168" spans="1:17" ht="15" customHeight="1" x14ac:dyDescent="0.25">
      <c r="A168" s="23"/>
      <c r="B168" s="36" t="s">
        <v>163</v>
      </c>
      <c r="C168" s="25" t="s">
        <v>176</v>
      </c>
      <c r="D168" s="26">
        <f>COUNTIFS('[1]TOTAL SUSPEK'!$F:$F,"Sarirejo")</f>
        <v>0</v>
      </c>
      <c r="E168" s="29"/>
      <c r="F168" s="30"/>
      <c r="G168" s="30"/>
      <c r="H168" s="30"/>
      <c r="I168" s="30"/>
      <c r="J168" s="30"/>
      <c r="K168" s="31"/>
      <c r="L168" s="31"/>
      <c r="M168" s="31"/>
      <c r="P168" s="28">
        <f t="shared" si="2"/>
        <v>0</v>
      </c>
      <c r="Q168" s="67"/>
    </row>
    <row r="169" spans="1:17" ht="15" customHeight="1" x14ac:dyDescent="0.25">
      <c r="A169" s="23"/>
      <c r="B169" s="36" t="s">
        <v>163</v>
      </c>
      <c r="C169" s="25" t="s">
        <v>177</v>
      </c>
      <c r="D169" s="26">
        <f>COUNTIFS('[1]TOTAL SUSPEK'!$F:$F,"Sidokumpul")</f>
        <v>0</v>
      </c>
      <c r="E169" s="29"/>
      <c r="F169" s="30"/>
      <c r="G169" s="30"/>
      <c r="H169" s="30"/>
      <c r="I169" s="30"/>
      <c r="J169" s="30"/>
      <c r="K169" s="31"/>
      <c r="L169" s="31"/>
      <c r="M169" s="31"/>
      <c r="P169" s="28">
        <f t="shared" si="2"/>
        <v>0</v>
      </c>
      <c r="Q169" s="67"/>
    </row>
    <row r="170" spans="1:17" ht="15" customHeight="1" x14ac:dyDescent="0.25">
      <c r="A170" s="23"/>
      <c r="B170" s="36" t="s">
        <v>163</v>
      </c>
      <c r="C170" s="25" t="s">
        <v>178</v>
      </c>
      <c r="D170" s="26">
        <f>COUNTIFS('[1]TOTAL SUSPEK'!$F:$F,"Gaji")</f>
        <v>0</v>
      </c>
      <c r="E170" s="29"/>
      <c r="F170" s="30"/>
      <c r="G170" s="30"/>
      <c r="H170" s="30"/>
      <c r="I170" s="30"/>
      <c r="J170" s="30"/>
      <c r="K170" s="31"/>
      <c r="L170" s="31"/>
      <c r="M170" s="31"/>
      <c r="P170" s="28">
        <f t="shared" si="2"/>
        <v>0</v>
      </c>
      <c r="Q170" s="67"/>
    </row>
    <row r="171" spans="1:17" ht="15" customHeight="1" x14ac:dyDescent="0.25">
      <c r="A171" s="23"/>
      <c r="B171" s="36" t="s">
        <v>163</v>
      </c>
      <c r="C171" s="25" t="s">
        <v>179</v>
      </c>
      <c r="D171" s="26">
        <f>COUNTIFS('[1]TOTAL SUSPEK'!$F:$F,"Banjarejo")</f>
        <v>0</v>
      </c>
      <c r="E171" s="29"/>
      <c r="F171" s="30"/>
      <c r="G171" s="30"/>
      <c r="H171" s="30"/>
      <c r="I171" s="30"/>
      <c r="J171" s="30"/>
      <c r="K171" s="31"/>
      <c r="L171" s="31"/>
      <c r="M171" s="31"/>
      <c r="P171" s="28">
        <f t="shared" si="2"/>
        <v>0</v>
      </c>
      <c r="Q171" s="67"/>
    </row>
    <row r="172" spans="1:17" ht="15" customHeight="1" x14ac:dyDescent="0.25">
      <c r="A172" s="23"/>
      <c r="B172" s="36" t="s">
        <v>163</v>
      </c>
      <c r="C172" s="25" t="s">
        <v>180</v>
      </c>
      <c r="D172" s="26">
        <f>COUNTIFS('[1]TOTAL SUSPEK'!$F:$F,"Krandon")</f>
        <v>0</v>
      </c>
      <c r="E172" s="29"/>
      <c r="F172" s="30"/>
      <c r="G172" s="30"/>
      <c r="H172" s="30"/>
      <c r="I172" s="30"/>
      <c r="J172" s="30"/>
      <c r="K172" s="31"/>
      <c r="L172" s="31"/>
      <c r="M172" s="31"/>
      <c r="P172" s="28">
        <f t="shared" si="2"/>
        <v>0</v>
      </c>
      <c r="Q172" s="67"/>
    </row>
    <row r="173" spans="1:17" ht="15" customHeight="1" x14ac:dyDescent="0.25">
      <c r="A173" s="23"/>
      <c r="B173" s="36" t="s">
        <v>163</v>
      </c>
      <c r="C173" s="25" t="s">
        <v>181</v>
      </c>
      <c r="D173" s="26">
        <f>COUNTIFS('[1]TOTAL SUSPEK'!$F:$F,"Tangkis")</f>
        <v>0</v>
      </c>
      <c r="E173" s="29"/>
      <c r="F173" s="30"/>
      <c r="G173" s="30"/>
      <c r="H173" s="30"/>
      <c r="I173" s="30"/>
      <c r="J173" s="30"/>
      <c r="K173" s="31"/>
      <c r="L173" s="31"/>
      <c r="M173" s="31"/>
      <c r="P173" s="28">
        <f t="shared" si="2"/>
        <v>0</v>
      </c>
      <c r="Q173" s="67"/>
    </row>
    <row r="174" spans="1:17" ht="15" customHeight="1" x14ac:dyDescent="0.25">
      <c r="A174" s="23"/>
      <c r="B174" s="36" t="s">
        <v>163</v>
      </c>
      <c r="C174" s="25" t="s">
        <v>100</v>
      </c>
      <c r="D174" s="26">
        <f>COUNTIFS('[1]TOTAL SUSPEK'!$F:$F,"Wonorejo",'[1]TOTAL SUSPEK'!$E:$E,"guntur")</f>
        <v>0</v>
      </c>
      <c r="E174" s="29"/>
      <c r="F174" s="30"/>
      <c r="G174" s="30"/>
      <c r="H174" s="30"/>
      <c r="I174" s="30"/>
      <c r="J174" s="30"/>
      <c r="K174" s="31"/>
      <c r="L174" s="31"/>
      <c r="M174" s="31"/>
      <c r="P174" s="28">
        <f t="shared" si="2"/>
        <v>0</v>
      </c>
      <c r="Q174" s="67"/>
    </row>
    <row r="175" spans="1:17" ht="15" customHeight="1" x14ac:dyDescent="0.25">
      <c r="A175" s="44">
        <v>10</v>
      </c>
      <c r="B175" s="36" t="s">
        <v>182</v>
      </c>
      <c r="C175" s="25" t="s">
        <v>183</v>
      </c>
      <c r="D175" s="26">
        <f>COUNTIFS('[1]TOTAL SUSPEK'!$F:$F,"Bumirejo")</f>
        <v>0</v>
      </c>
      <c r="E175" s="29" t="e">
        <f>SUM(#REF!)</f>
        <v>#REF!</v>
      </c>
      <c r="F175" s="29" t="e">
        <f>SUM(#REF!)</f>
        <v>#REF!</v>
      </c>
      <c r="G175" s="29" t="e">
        <f>SUM(#REF!)</f>
        <v>#REF!</v>
      </c>
      <c r="H175" s="29" t="e">
        <f>SUM(#REF!)</f>
        <v>#REF!</v>
      </c>
      <c r="I175" s="29" t="e">
        <f>SUM(#REF!)</f>
        <v>#REF!</v>
      </c>
      <c r="J175" s="29" t="e">
        <f>SUM(#REF!)</f>
        <v>#REF!</v>
      </c>
      <c r="K175" s="29" t="e">
        <f>SUM(#REF!)</f>
        <v>#REF!</v>
      </c>
      <c r="L175" s="29">
        <f>SUM(D175:D186)</f>
        <v>0</v>
      </c>
      <c r="M175" s="29" t="e">
        <f>SUM(#REF!)</f>
        <v>#REF!</v>
      </c>
      <c r="P175" s="28">
        <f t="shared" si="2"/>
        <v>0</v>
      </c>
      <c r="Q175" s="69">
        <f>SUM(P175:P186)</f>
        <v>0</v>
      </c>
    </row>
    <row r="176" spans="1:17" ht="15" customHeight="1" x14ac:dyDescent="0.25">
      <c r="A176" s="44"/>
      <c r="B176" s="36" t="s">
        <v>182</v>
      </c>
      <c r="C176" s="25" t="s">
        <v>184</v>
      </c>
      <c r="D176" s="26">
        <f>COUNTIFS('[1]TOTAL SUSPEK'!$F:$F,"Pundenarum")</f>
        <v>0</v>
      </c>
      <c r="E176" s="29"/>
      <c r="F176" s="30"/>
      <c r="G176" s="30"/>
      <c r="H176" s="30"/>
      <c r="I176" s="30"/>
      <c r="J176" s="30"/>
      <c r="K176" s="31"/>
      <c r="L176" s="31"/>
      <c r="M176" s="31"/>
      <c r="P176" s="28">
        <f t="shared" si="2"/>
        <v>0</v>
      </c>
      <c r="Q176" s="67"/>
    </row>
    <row r="177" spans="1:17" ht="15" customHeight="1" x14ac:dyDescent="0.25">
      <c r="A177" s="44"/>
      <c r="B177" s="36" t="s">
        <v>182</v>
      </c>
      <c r="C177" s="25" t="s">
        <v>185</v>
      </c>
      <c r="D177" s="26">
        <f>COUNTIFS('[1]TOTAL SUSPEK'!$F:$F,"Kuripan")</f>
        <v>0</v>
      </c>
      <c r="E177" s="29"/>
      <c r="F177" s="30"/>
      <c r="G177" s="30"/>
      <c r="H177" s="30"/>
      <c r="I177" s="30"/>
      <c r="J177" s="30"/>
      <c r="K177" s="31"/>
      <c r="L177" s="31"/>
      <c r="M177" s="31"/>
      <c r="P177" s="28">
        <f t="shared" si="2"/>
        <v>0</v>
      </c>
      <c r="Q177" s="67"/>
    </row>
    <row r="178" spans="1:17" ht="15" customHeight="1" x14ac:dyDescent="0.25">
      <c r="A178" s="44"/>
      <c r="B178" s="36" t="s">
        <v>182</v>
      </c>
      <c r="C178" s="25" t="s">
        <v>186</v>
      </c>
      <c r="D178" s="26">
        <f>COUNTIFS('[1]TOTAL SUSPEK'!$F:$F,"Brambang")</f>
        <v>0</v>
      </c>
      <c r="E178" s="29"/>
      <c r="F178" s="30"/>
      <c r="G178" s="30"/>
      <c r="H178" s="30"/>
      <c r="I178" s="30"/>
      <c r="J178" s="30"/>
      <c r="K178" s="31"/>
      <c r="L178" s="31"/>
      <c r="M178" s="31"/>
      <c r="P178" s="28">
        <f t="shared" si="2"/>
        <v>0</v>
      </c>
      <c r="Q178" s="67"/>
    </row>
    <row r="179" spans="1:17" ht="15" customHeight="1" x14ac:dyDescent="0.25">
      <c r="A179" s="44"/>
      <c r="B179" s="36" t="s">
        <v>182</v>
      </c>
      <c r="C179" s="25" t="s">
        <v>182</v>
      </c>
      <c r="D179" s="26">
        <f>COUNTIFS('[1]TOTAL SUSPEK'!$F:$F,"Karangawen")</f>
        <v>0</v>
      </c>
      <c r="E179" s="29"/>
      <c r="F179" s="30"/>
      <c r="G179" s="30"/>
      <c r="H179" s="30"/>
      <c r="I179" s="30"/>
      <c r="J179" s="30"/>
      <c r="K179" s="31"/>
      <c r="L179" s="31"/>
      <c r="M179" s="31"/>
      <c r="P179" s="28">
        <f t="shared" si="2"/>
        <v>0</v>
      </c>
      <c r="Q179" s="67"/>
    </row>
    <row r="180" spans="1:17" ht="15" customHeight="1" x14ac:dyDescent="0.25">
      <c r="A180" s="44"/>
      <c r="B180" s="36" t="s">
        <v>182</v>
      </c>
      <c r="C180" s="25" t="s">
        <v>187</v>
      </c>
      <c r="D180" s="26">
        <f>COUNTIFS('[1]TOTAL SUSPEK'!$F:$F,"Sidorejo",'[1]TOTAL SUSPEK'!$E:$E,"karangawen")</f>
        <v>0</v>
      </c>
      <c r="E180" s="29"/>
      <c r="F180" s="30"/>
      <c r="G180" s="30"/>
      <c r="H180" s="30"/>
      <c r="I180" s="30"/>
      <c r="J180" s="30"/>
      <c r="K180" s="31"/>
      <c r="L180" s="31"/>
      <c r="M180" s="31"/>
      <c r="P180" s="28">
        <f t="shared" si="2"/>
        <v>0</v>
      </c>
      <c r="Q180" s="67"/>
    </row>
    <row r="181" spans="1:17" ht="15" customHeight="1" x14ac:dyDescent="0.25">
      <c r="A181" s="44"/>
      <c r="B181" s="36" t="s">
        <v>182</v>
      </c>
      <c r="C181" s="25" t="s">
        <v>188</v>
      </c>
      <c r="D181" s="26">
        <f>COUNTIFS('[1]TOTAL SUSPEK'!$F:$F,"Wonosekar")</f>
        <v>0</v>
      </c>
      <c r="E181" s="29"/>
      <c r="F181" s="30"/>
      <c r="G181" s="30"/>
      <c r="H181" s="30"/>
      <c r="I181" s="30"/>
      <c r="J181" s="30"/>
      <c r="K181" s="31"/>
      <c r="L181" s="31"/>
      <c r="M181" s="31"/>
      <c r="P181" s="28">
        <f t="shared" si="2"/>
        <v>0</v>
      </c>
      <c r="Q181" s="67"/>
    </row>
    <row r="182" spans="1:17" ht="15" customHeight="1" x14ac:dyDescent="0.25">
      <c r="A182" s="44"/>
      <c r="B182" s="36" t="s">
        <v>182</v>
      </c>
      <c r="C182" s="25" t="s">
        <v>69</v>
      </c>
      <c r="D182" s="26">
        <f>COUNTIFS('[1]TOTAL SUSPEK'!$F:$F,"Tlogorejo",'[1]TOTAL SUSPEK'!$E:$E,"Karangawen")</f>
        <v>0</v>
      </c>
      <c r="E182" s="29"/>
      <c r="F182" s="30"/>
      <c r="G182" s="30"/>
      <c r="H182" s="30"/>
      <c r="I182" s="30"/>
      <c r="J182" s="30"/>
      <c r="K182" s="31"/>
      <c r="L182" s="31"/>
      <c r="M182" s="31"/>
      <c r="P182" s="28">
        <f t="shared" si="2"/>
        <v>0</v>
      </c>
      <c r="Q182" s="67"/>
    </row>
    <row r="183" spans="1:17" ht="15" customHeight="1" x14ac:dyDescent="0.25">
      <c r="A183" s="44"/>
      <c r="B183" s="36" t="s">
        <v>182</v>
      </c>
      <c r="C183" s="25" t="s">
        <v>41</v>
      </c>
      <c r="D183" s="26">
        <f>COUNTIFS('[1]TOTAL SUSPEK'!$F:$F,"Rejosari",'[1]TOTAL SUSPEK'!$E:$E,"karangawen")</f>
        <v>0</v>
      </c>
      <c r="E183" s="29"/>
      <c r="F183" s="30"/>
      <c r="G183" s="30"/>
      <c r="H183" s="30"/>
      <c r="I183" s="30"/>
      <c r="J183" s="30"/>
      <c r="K183" s="31"/>
      <c r="L183" s="31"/>
      <c r="M183" s="31"/>
      <c r="P183" s="28">
        <f t="shared" si="2"/>
        <v>0</v>
      </c>
      <c r="Q183" s="67"/>
    </row>
    <row r="184" spans="1:17" ht="15" customHeight="1" x14ac:dyDescent="0.25">
      <c r="A184" s="44"/>
      <c r="B184" s="36" t="s">
        <v>182</v>
      </c>
      <c r="C184" s="25" t="s">
        <v>189</v>
      </c>
      <c r="D184" s="26">
        <f>COUNTIFS('[1]TOTAL SUSPEK'!$F:$F,"Teluk")</f>
        <v>0</v>
      </c>
      <c r="E184" s="29"/>
      <c r="F184" s="30"/>
      <c r="G184" s="30"/>
      <c r="H184" s="30"/>
      <c r="I184" s="30"/>
      <c r="J184" s="30"/>
      <c r="K184" s="31"/>
      <c r="L184" s="31"/>
      <c r="M184" s="31"/>
      <c r="P184" s="28">
        <f t="shared" si="2"/>
        <v>0</v>
      </c>
      <c r="Q184" s="67"/>
    </row>
    <row r="185" spans="1:17" ht="15" customHeight="1" x14ac:dyDescent="0.25">
      <c r="A185" s="44"/>
      <c r="B185" s="36" t="s">
        <v>182</v>
      </c>
      <c r="C185" s="25" t="s">
        <v>190</v>
      </c>
      <c r="D185" s="26">
        <f>COUNTIFS('[1]TOTAL SUSPEK'!$F:$F,"Margohayu")</f>
        <v>0</v>
      </c>
      <c r="E185" s="29"/>
      <c r="F185" s="30"/>
      <c r="G185" s="30"/>
      <c r="H185" s="30"/>
      <c r="I185" s="30"/>
      <c r="J185" s="30"/>
      <c r="K185" s="31"/>
      <c r="L185" s="31"/>
      <c r="M185" s="31"/>
      <c r="P185" s="28">
        <f t="shared" si="2"/>
        <v>0</v>
      </c>
      <c r="Q185" s="67"/>
    </row>
    <row r="186" spans="1:17" ht="15" customHeight="1" x14ac:dyDescent="0.25">
      <c r="A186" s="44"/>
      <c r="B186" s="36" t="s">
        <v>182</v>
      </c>
      <c r="C186" s="25" t="s">
        <v>191</v>
      </c>
      <c r="D186" s="26">
        <f>COUNTIFS('[1]TOTAL SUSPEK'!$F:$F,"Jragung")</f>
        <v>0</v>
      </c>
      <c r="E186" s="29"/>
      <c r="F186" s="30"/>
      <c r="G186" s="30"/>
      <c r="H186" s="30"/>
      <c r="I186" s="30"/>
      <c r="J186" s="30"/>
      <c r="K186" s="31"/>
      <c r="L186" s="31"/>
      <c r="M186" s="31"/>
      <c r="P186" s="28">
        <f t="shared" si="2"/>
        <v>0</v>
      </c>
      <c r="Q186" s="67"/>
    </row>
    <row r="187" spans="1:17" x14ac:dyDescent="0.25">
      <c r="A187" s="44">
        <v>11</v>
      </c>
      <c r="B187" s="36" t="s">
        <v>192</v>
      </c>
      <c r="C187" s="25" t="s">
        <v>193</v>
      </c>
      <c r="D187" s="26">
        <f>COUNTIFS('[1]TOTAL SUSPEK'!$F:$F,"Harjowinangun")</f>
        <v>0</v>
      </c>
      <c r="E187" s="29" t="e">
        <f>SUM(#REF!)</f>
        <v>#REF!</v>
      </c>
      <c r="F187" s="29" t="e">
        <f>SUM(#REF!)</f>
        <v>#REF!</v>
      </c>
      <c r="G187" s="29" t="e">
        <f>SUM(#REF!)</f>
        <v>#REF!</v>
      </c>
      <c r="H187" s="29" t="e">
        <f>SUM(#REF!)</f>
        <v>#REF!</v>
      </c>
      <c r="I187" s="29" t="e">
        <f>SUM(#REF!)</f>
        <v>#REF!</v>
      </c>
      <c r="J187" s="29" t="e">
        <f>SUM(#REF!)</f>
        <v>#REF!</v>
      </c>
      <c r="K187" s="29" t="e">
        <f>SUM(#REF!)</f>
        <v>#REF!</v>
      </c>
      <c r="L187" s="29">
        <f>SUM(D187:D202)</f>
        <v>0</v>
      </c>
      <c r="M187" s="29" t="e">
        <f>SUM(#REF!)</f>
        <v>#REF!</v>
      </c>
      <c r="P187" s="28">
        <f t="shared" si="2"/>
        <v>0</v>
      </c>
      <c r="Q187" s="69">
        <f>SUM(P187:P202)</f>
        <v>0</v>
      </c>
    </row>
    <row r="188" spans="1:17" x14ac:dyDescent="0.25">
      <c r="A188" s="44"/>
      <c r="B188" s="36" t="s">
        <v>192</v>
      </c>
      <c r="C188" s="25" t="s">
        <v>192</v>
      </c>
      <c r="D188" s="26">
        <f>COUNTIFS('[1]TOTAL SUSPEK'!$F:$F,"Dempet")</f>
        <v>0</v>
      </c>
      <c r="E188" s="29"/>
      <c r="F188" s="30"/>
      <c r="G188" s="30"/>
      <c r="H188" s="30"/>
      <c r="I188" s="30"/>
      <c r="J188" s="30"/>
      <c r="K188" s="31"/>
      <c r="L188" s="31"/>
      <c r="M188" s="31"/>
      <c r="P188" s="28">
        <f t="shared" si="2"/>
        <v>0</v>
      </c>
      <c r="Q188" s="67"/>
    </row>
    <row r="189" spans="1:17" x14ac:dyDescent="0.25">
      <c r="A189" s="44"/>
      <c r="B189" s="36" t="s">
        <v>192</v>
      </c>
      <c r="C189" s="25" t="s">
        <v>194</v>
      </c>
      <c r="D189" s="26">
        <f>COUNTIFS('[1]TOTAL SUSPEK'!$F:$F,"Brakas")</f>
        <v>0</v>
      </c>
      <c r="E189" s="29"/>
      <c r="F189" s="30"/>
      <c r="G189" s="30"/>
      <c r="H189" s="30"/>
      <c r="I189" s="30"/>
      <c r="J189" s="30"/>
      <c r="K189" s="31"/>
      <c r="L189" s="31"/>
      <c r="M189" s="31"/>
      <c r="P189" s="28">
        <f t="shared" si="2"/>
        <v>0</v>
      </c>
      <c r="Q189" s="67"/>
    </row>
    <row r="190" spans="1:17" x14ac:dyDescent="0.25">
      <c r="A190" s="44"/>
      <c r="B190" s="36" t="s">
        <v>192</v>
      </c>
      <c r="C190" s="43" t="s">
        <v>62</v>
      </c>
      <c r="D190" s="26">
        <f>COUNTIFS('[1]TOTAL SUSPEK'!$F:$F,"Sidomulyo",'[1]TOTAL SUSPEK'!$E:$E,"dempet")</f>
        <v>0</v>
      </c>
      <c r="E190" s="29"/>
      <c r="F190" s="30"/>
      <c r="G190" s="30"/>
      <c r="H190" s="30"/>
      <c r="I190" s="30"/>
      <c r="J190" s="30"/>
      <c r="K190" s="31"/>
      <c r="L190" s="31"/>
      <c r="M190" s="31"/>
      <c r="P190" s="28">
        <f t="shared" si="2"/>
        <v>0</v>
      </c>
      <c r="Q190" s="67"/>
    </row>
    <row r="191" spans="1:17" x14ac:dyDescent="0.25">
      <c r="A191" s="44"/>
      <c r="B191" s="36" t="s">
        <v>192</v>
      </c>
      <c r="C191" s="25" t="s">
        <v>195</v>
      </c>
      <c r="D191" s="26">
        <f>COUNTIFS('[1]TOTAL SUSPEK'!$F:$F,"Gempoldenok")</f>
        <v>0</v>
      </c>
      <c r="E191" s="29"/>
      <c r="F191" s="30"/>
      <c r="G191" s="30"/>
      <c r="H191" s="30"/>
      <c r="I191" s="30"/>
      <c r="J191" s="30"/>
      <c r="K191" s="31"/>
      <c r="L191" s="31"/>
      <c r="M191" s="31"/>
      <c r="P191" s="28">
        <f t="shared" si="2"/>
        <v>0</v>
      </c>
      <c r="Q191" s="67"/>
    </row>
    <row r="192" spans="1:17" x14ac:dyDescent="0.25">
      <c r="A192" s="44"/>
      <c r="B192" s="36" t="s">
        <v>192</v>
      </c>
      <c r="C192" s="25" t="s">
        <v>196</v>
      </c>
      <c r="D192" s="26">
        <f>COUNTIFS('[1]TOTAL SUSPEK'!$F:$F,"Botosengon")</f>
        <v>0</v>
      </c>
      <c r="E192" s="29"/>
      <c r="F192" s="30"/>
      <c r="G192" s="30"/>
      <c r="H192" s="30"/>
      <c r="I192" s="30"/>
      <c r="J192" s="30"/>
      <c r="K192" s="31"/>
      <c r="L192" s="31"/>
      <c r="M192" s="31"/>
      <c r="P192" s="28">
        <f t="shared" si="2"/>
        <v>0</v>
      </c>
      <c r="Q192" s="67"/>
    </row>
    <row r="193" spans="1:17" x14ac:dyDescent="0.25">
      <c r="A193" s="44"/>
      <c r="B193" s="36" t="s">
        <v>192</v>
      </c>
      <c r="C193" s="25" t="s">
        <v>197</v>
      </c>
      <c r="D193" s="26">
        <f>COUNTIFS('[1]TOTAL SUSPEK'!$F:$F,"Merak")</f>
        <v>0</v>
      </c>
      <c r="E193" s="29"/>
      <c r="F193" s="30"/>
      <c r="G193" s="30"/>
      <c r="H193" s="30"/>
      <c r="I193" s="30"/>
      <c r="J193" s="30"/>
      <c r="K193" s="31"/>
      <c r="L193" s="31"/>
      <c r="M193" s="31"/>
      <c r="P193" s="28">
        <f t="shared" si="2"/>
        <v>0</v>
      </c>
      <c r="Q193" s="67"/>
    </row>
    <row r="194" spans="1:17" x14ac:dyDescent="0.25">
      <c r="A194" s="44"/>
      <c r="B194" s="36" t="s">
        <v>192</v>
      </c>
      <c r="C194" s="25" t="s">
        <v>198</v>
      </c>
      <c r="D194" s="26">
        <f>COUNTIFS('[1]TOTAL SUSPEK'!$F:$F,"Kebonsari")</f>
        <v>0</v>
      </c>
      <c r="E194" s="29"/>
      <c r="F194" s="30"/>
      <c r="G194" s="30"/>
      <c r="H194" s="30"/>
      <c r="I194" s="30"/>
      <c r="J194" s="30"/>
      <c r="K194" s="31"/>
      <c r="L194" s="31"/>
      <c r="M194" s="31"/>
      <c r="P194" s="28">
        <f t="shared" si="2"/>
        <v>0</v>
      </c>
      <c r="Q194" s="67"/>
    </row>
    <row r="195" spans="1:17" x14ac:dyDescent="0.25">
      <c r="A195" s="44"/>
      <c r="B195" s="36" t="s">
        <v>192</v>
      </c>
      <c r="C195" s="25" t="s">
        <v>199</v>
      </c>
      <c r="D195" s="26">
        <f>COUNTIFS('[1]TOTAL SUSPEK'!$F:$F,"Balerejo")</f>
        <v>0</v>
      </c>
      <c r="E195" s="29"/>
      <c r="F195" s="30"/>
      <c r="G195" s="30"/>
      <c r="H195" s="30"/>
      <c r="I195" s="30"/>
      <c r="J195" s="30"/>
      <c r="K195" s="31"/>
      <c r="L195" s="31"/>
      <c r="M195" s="31"/>
      <c r="P195" s="28">
        <f t="shared" si="2"/>
        <v>0</v>
      </c>
      <c r="Q195" s="67"/>
    </row>
    <row r="196" spans="1:17" x14ac:dyDescent="0.25">
      <c r="A196" s="44"/>
      <c r="B196" s="36" t="s">
        <v>192</v>
      </c>
      <c r="C196" s="25" t="s">
        <v>72</v>
      </c>
      <c r="D196" s="26">
        <f>COUNTIFS('[1]TOTAL SUSPEK'!$F:$F,"Karangrejo",'[1]TOTAL SUSPEK'!$E:$E,"dempet")</f>
        <v>0</v>
      </c>
      <c r="E196" s="29"/>
      <c r="F196" s="30"/>
      <c r="G196" s="30"/>
      <c r="H196" s="30"/>
      <c r="I196" s="30"/>
      <c r="J196" s="30"/>
      <c r="K196" s="31"/>
      <c r="L196" s="31"/>
      <c r="M196" s="31"/>
      <c r="P196" s="28">
        <f t="shared" si="2"/>
        <v>0</v>
      </c>
      <c r="Q196" s="67"/>
    </row>
    <row r="197" spans="1:17" x14ac:dyDescent="0.25">
      <c r="A197" s="44"/>
      <c r="B197" s="36" t="s">
        <v>192</v>
      </c>
      <c r="C197" s="25" t="s">
        <v>200</v>
      </c>
      <c r="D197" s="26">
        <f>COUNTIFS('[1]TOTAL SUSPEK'!$F:$F,"Baleromo")</f>
        <v>0</v>
      </c>
      <c r="E197" s="29"/>
      <c r="F197" s="30"/>
      <c r="G197" s="30"/>
      <c r="H197" s="30"/>
      <c r="I197" s="30"/>
      <c r="J197" s="30"/>
      <c r="K197" s="31"/>
      <c r="L197" s="31"/>
      <c r="M197" s="31"/>
      <c r="P197" s="28">
        <f t="shared" si="2"/>
        <v>0</v>
      </c>
      <c r="Q197" s="67"/>
    </row>
    <row r="198" spans="1:17" x14ac:dyDescent="0.25">
      <c r="A198" s="44"/>
      <c r="B198" s="36" t="s">
        <v>192</v>
      </c>
      <c r="C198" s="25" t="s">
        <v>201</v>
      </c>
      <c r="D198" s="26">
        <f>COUNTIFS('[1]TOTAL SUSPEK'!$F:$F,"Jerukgulung")</f>
        <v>0</v>
      </c>
      <c r="E198" s="29"/>
      <c r="F198" s="30"/>
      <c r="G198" s="30"/>
      <c r="H198" s="30"/>
      <c r="I198" s="30"/>
      <c r="J198" s="30"/>
      <c r="K198" s="31"/>
      <c r="L198" s="31"/>
      <c r="M198" s="31"/>
      <c r="P198" s="28">
        <f t="shared" si="2"/>
        <v>0</v>
      </c>
      <c r="Q198" s="67"/>
    </row>
    <row r="199" spans="1:17" x14ac:dyDescent="0.25">
      <c r="A199" s="44"/>
      <c r="B199" s="36" t="s">
        <v>192</v>
      </c>
      <c r="C199" s="25" t="s">
        <v>202</v>
      </c>
      <c r="D199" s="26">
        <f>COUNTIFS('[1]TOTAL SUSPEK'!$F:$F,"Kunir")</f>
        <v>0</v>
      </c>
      <c r="E199" s="29"/>
      <c r="F199" s="30"/>
      <c r="G199" s="30"/>
      <c r="H199" s="30"/>
      <c r="I199" s="30"/>
      <c r="J199" s="30"/>
      <c r="K199" s="31"/>
      <c r="L199" s="31"/>
      <c r="M199" s="31"/>
      <c r="P199" s="28">
        <f t="shared" si="2"/>
        <v>0</v>
      </c>
      <c r="Q199" s="67"/>
    </row>
    <row r="200" spans="1:17" x14ac:dyDescent="0.25">
      <c r="A200" s="44"/>
      <c r="B200" s="36" t="s">
        <v>192</v>
      </c>
      <c r="C200" s="25" t="s">
        <v>203</v>
      </c>
      <c r="D200" s="26">
        <f>COUNTIFS('[1]TOTAL SUSPEK'!$F:$F,"Kedungori")</f>
        <v>0</v>
      </c>
      <c r="E200" s="29"/>
      <c r="F200" s="30"/>
      <c r="G200" s="30"/>
      <c r="H200" s="30"/>
      <c r="I200" s="30"/>
      <c r="J200" s="30"/>
      <c r="K200" s="31"/>
      <c r="L200" s="31"/>
      <c r="M200" s="31"/>
      <c r="P200" s="28">
        <f t="shared" ref="P200:P257" si="3">SUM(D200:D200)</f>
        <v>0</v>
      </c>
      <c r="Q200" s="67"/>
    </row>
    <row r="201" spans="1:17" x14ac:dyDescent="0.25">
      <c r="A201" s="44"/>
      <c r="B201" s="36" t="s">
        <v>192</v>
      </c>
      <c r="C201" s="43" t="s">
        <v>204</v>
      </c>
      <c r="D201" s="26">
        <f>COUNTIFS('[1]TOTAL SUSPEK'!$F:$F,"Kuwu")</f>
        <v>0</v>
      </c>
      <c r="E201" s="29"/>
      <c r="F201" s="30"/>
      <c r="G201" s="30"/>
      <c r="H201" s="30"/>
      <c r="I201" s="30"/>
      <c r="J201" s="30"/>
      <c r="K201" s="31"/>
      <c r="L201" s="31"/>
      <c r="M201" s="31"/>
      <c r="P201" s="28">
        <f t="shared" si="3"/>
        <v>0</v>
      </c>
      <c r="Q201" s="67"/>
    </row>
    <row r="202" spans="1:17" x14ac:dyDescent="0.25">
      <c r="A202" s="44"/>
      <c r="B202" s="36" t="s">
        <v>192</v>
      </c>
      <c r="C202" s="25" t="s">
        <v>205</v>
      </c>
      <c r="D202" s="26">
        <f>COUNTIFS('[1]TOTAL SUSPEK'!$F:$F,"Kramat")</f>
        <v>0</v>
      </c>
      <c r="E202" s="29"/>
      <c r="F202" s="30"/>
      <c r="G202" s="30"/>
      <c r="H202" s="30"/>
      <c r="I202" s="30"/>
      <c r="J202" s="30"/>
      <c r="K202" s="31"/>
      <c r="L202" s="31"/>
      <c r="M202" s="31"/>
      <c r="P202" s="28">
        <f t="shared" si="3"/>
        <v>0</v>
      </c>
      <c r="Q202" s="67"/>
    </row>
    <row r="203" spans="1:17" ht="15" customHeight="1" x14ac:dyDescent="0.25">
      <c r="A203" s="44">
        <v>12</v>
      </c>
      <c r="B203" s="36" t="s">
        <v>206</v>
      </c>
      <c r="C203" s="25" t="s">
        <v>207</v>
      </c>
      <c r="D203" s="26">
        <f>COUNTIFS('[1]TOTAL SUSPEK'!$F:$F,"Mangunrejo")</f>
        <v>0</v>
      </c>
      <c r="E203" s="29" t="e">
        <f>SUM(#REF!)</f>
        <v>#REF!</v>
      </c>
      <c r="F203" s="29" t="e">
        <f>SUM(#REF!)</f>
        <v>#REF!</v>
      </c>
      <c r="G203" s="29" t="e">
        <f>SUM(#REF!)</f>
        <v>#REF!</v>
      </c>
      <c r="H203" s="29" t="e">
        <f>SUM(#REF!)</f>
        <v>#REF!</v>
      </c>
      <c r="I203" s="29" t="e">
        <f>SUM(#REF!)</f>
        <v>#REF!</v>
      </c>
      <c r="J203" s="29" t="e">
        <f>SUM(#REF!)</f>
        <v>#REF!</v>
      </c>
      <c r="K203" s="29" t="e">
        <f>SUM(#REF!)</f>
        <v>#REF!</v>
      </c>
      <c r="L203" s="29">
        <f>SUM(D203:D216)</f>
        <v>0</v>
      </c>
      <c r="M203" s="29" t="e">
        <f>SUM(#REF!)</f>
        <v>#REF!</v>
      </c>
      <c r="P203" s="28">
        <f t="shared" si="3"/>
        <v>0</v>
      </c>
      <c r="Q203" s="69">
        <f>SUM(P203:P216)</f>
        <v>0</v>
      </c>
    </row>
    <row r="204" spans="1:17" ht="15" customHeight="1" x14ac:dyDescent="0.25">
      <c r="A204" s="44"/>
      <c r="B204" s="36" t="s">
        <v>206</v>
      </c>
      <c r="C204" s="25" t="s">
        <v>208</v>
      </c>
      <c r="D204" s="26">
        <f>COUNTIFS('[1]TOTAL SUSPEK'!$F:$F,"Tlogosih")</f>
        <v>0</v>
      </c>
      <c r="E204" s="29"/>
      <c r="F204" s="30"/>
      <c r="G204" s="30"/>
      <c r="H204" s="30"/>
      <c r="I204" s="30"/>
      <c r="J204" s="30"/>
      <c r="K204" s="31"/>
      <c r="L204" s="31"/>
      <c r="M204" s="31"/>
      <c r="P204" s="28">
        <f t="shared" si="3"/>
        <v>0</v>
      </c>
      <c r="Q204" s="67"/>
    </row>
    <row r="205" spans="1:17" ht="15" customHeight="1" x14ac:dyDescent="0.25">
      <c r="A205" s="44"/>
      <c r="B205" s="36" t="s">
        <v>206</v>
      </c>
      <c r="C205" s="25" t="s">
        <v>209</v>
      </c>
      <c r="D205" s="26">
        <f>COUNTIFS('[1]TOTAL SUSPEK'!$F:$F,"Megonten")</f>
        <v>0</v>
      </c>
      <c r="E205" s="29"/>
      <c r="F205" s="30"/>
      <c r="G205" s="30"/>
      <c r="H205" s="30"/>
      <c r="I205" s="30"/>
      <c r="J205" s="30"/>
      <c r="K205" s="31"/>
      <c r="L205" s="31"/>
      <c r="M205" s="31"/>
      <c r="P205" s="28">
        <f t="shared" si="3"/>
        <v>0</v>
      </c>
      <c r="Q205" s="67"/>
    </row>
    <row r="206" spans="1:17" ht="15" customHeight="1" x14ac:dyDescent="0.25">
      <c r="A206" s="44"/>
      <c r="B206" s="36" t="s">
        <v>206</v>
      </c>
      <c r="C206" s="25" t="s">
        <v>210</v>
      </c>
      <c r="D206" s="26">
        <f>COUNTIFS('[1]TOTAL SUSPEK'!$F:$F,"Soko kidul")</f>
        <v>0</v>
      </c>
      <c r="E206" s="29"/>
      <c r="F206" s="30"/>
      <c r="G206" s="30"/>
      <c r="H206" s="30"/>
      <c r="I206" s="30"/>
      <c r="J206" s="30"/>
      <c r="K206" s="31"/>
      <c r="L206" s="31"/>
      <c r="M206" s="31"/>
      <c r="P206" s="28">
        <f t="shared" si="3"/>
        <v>0</v>
      </c>
      <c r="Q206" s="67"/>
    </row>
    <row r="207" spans="1:17" ht="15" customHeight="1" x14ac:dyDescent="0.25">
      <c r="A207" s="44"/>
      <c r="B207" s="36" t="s">
        <v>206</v>
      </c>
      <c r="C207" s="25" t="s">
        <v>211</v>
      </c>
      <c r="D207" s="26">
        <f>COUNTIFS('[1]TOTAL SUSPEK'!$F:$F,"Pilang wetan")</f>
        <v>0</v>
      </c>
      <c r="E207" s="29"/>
      <c r="F207" s="30"/>
      <c r="G207" s="30"/>
      <c r="H207" s="30"/>
      <c r="I207" s="30"/>
      <c r="J207" s="30"/>
      <c r="K207" s="31"/>
      <c r="L207" s="31"/>
      <c r="M207" s="31"/>
      <c r="P207" s="28">
        <f t="shared" si="3"/>
        <v>0</v>
      </c>
      <c r="Q207" s="67"/>
    </row>
    <row r="208" spans="1:17" ht="15" customHeight="1" x14ac:dyDescent="0.25">
      <c r="A208" s="44"/>
      <c r="B208" s="36" t="s">
        <v>206</v>
      </c>
      <c r="C208" s="25" t="s">
        <v>206</v>
      </c>
      <c r="D208" s="26">
        <f>COUNTIFS('[1]TOTAL SUSPEK'!$F:$F,"Kebonagung")</f>
        <v>0</v>
      </c>
      <c r="E208" s="29"/>
      <c r="F208" s="30"/>
      <c r="G208" s="30"/>
      <c r="H208" s="30"/>
      <c r="I208" s="30"/>
      <c r="J208" s="30"/>
      <c r="K208" s="31"/>
      <c r="L208" s="31"/>
      <c r="M208" s="31"/>
      <c r="P208" s="28">
        <f t="shared" si="3"/>
        <v>0</v>
      </c>
      <c r="Q208" s="67"/>
    </row>
    <row r="209" spans="1:17" ht="15" customHeight="1" x14ac:dyDescent="0.25">
      <c r="A209" s="44"/>
      <c r="B209" s="36" t="s">
        <v>206</v>
      </c>
      <c r="C209" s="25" t="s">
        <v>110</v>
      </c>
      <c r="D209" s="26">
        <f>COUNTIFS('[1]TOTAL SUSPEK'!$F:$F,"Mijen",'[1]TOTAL SUSPEK'!$E:$E,"kebonagung")</f>
        <v>0</v>
      </c>
      <c r="E209" s="29"/>
      <c r="F209" s="30"/>
      <c r="G209" s="30"/>
      <c r="H209" s="30"/>
      <c r="I209" s="30"/>
      <c r="J209" s="30"/>
      <c r="K209" s="31"/>
      <c r="L209" s="31"/>
      <c r="M209" s="31"/>
      <c r="P209" s="28">
        <f t="shared" si="3"/>
        <v>0</v>
      </c>
      <c r="Q209" s="67"/>
    </row>
    <row r="210" spans="1:17" ht="15" customHeight="1" x14ac:dyDescent="0.25">
      <c r="A210" s="44"/>
      <c r="B210" s="36" t="s">
        <v>206</v>
      </c>
      <c r="C210" s="25" t="s">
        <v>212</v>
      </c>
      <c r="D210" s="26">
        <f>COUNTIFS('[1]TOTAL SUSPEK'!$F:$F,"Klampok Lor")</f>
        <v>0</v>
      </c>
      <c r="E210" s="29"/>
      <c r="F210" s="30"/>
      <c r="G210" s="30"/>
      <c r="H210" s="30"/>
      <c r="I210" s="30"/>
      <c r="J210" s="30"/>
      <c r="K210" s="31"/>
      <c r="L210" s="31"/>
      <c r="M210" s="31"/>
      <c r="P210" s="28">
        <f t="shared" si="3"/>
        <v>0</v>
      </c>
      <c r="Q210" s="67"/>
    </row>
    <row r="211" spans="1:17" ht="15" customHeight="1" x14ac:dyDescent="0.25">
      <c r="A211" s="44"/>
      <c r="B211" s="36" t="s">
        <v>206</v>
      </c>
      <c r="C211" s="25" t="s">
        <v>213</v>
      </c>
      <c r="D211" s="26">
        <f>COUNTIFS('[1]TOTAL SUSPEK'!$F:$F,"Werdoyo")</f>
        <v>0</v>
      </c>
      <c r="E211" s="29"/>
      <c r="F211" s="30"/>
      <c r="G211" s="30"/>
      <c r="H211" s="30"/>
      <c r="I211" s="30"/>
      <c r="J211" s="30"/>
      <c r="K211" s="31"/>
      <c r="L211" s="31"/>
      <c r="M211" s="31"/>
      <c r="P211" s="28">
        <f t="shared" si="3"/>
        <v>0</v>
      </c>
      <c r="Q211" s="67"/>
    </row>
    <row r="212" spans="1:17" ht="15" customHeight="1" x14ac:dyDescent="0.25">
      <c r="A212" s="44"/>
      <c r="B212" s="36" t="s">
        <v>206</v>
      </c>
      <c r="C212" s="25" t="s">
        <v>214</v>
      </c>
      <c r="D212" s="26">
        <f>COUNTIFS('[1]TOTAL SUSPEK'!$F:$F,"Babat")</f>
        <v>0</v>
      </c>
      <c r="E212" s="29"/>
      <c r="F212" s="30"/>
      <c r="G212" s="30"/>
      <c r="H212" s="30"/>
      <c r="I212" s="30"/>
      <c r="J212" s="30"/>
      <c r="K212" s="31"/>
      <c r="L212" s="31"/>
      <c r="M212" s="31"/>
      <c r="P212" s="28">
        <f t="shared" si="3"/>
        <v>0</v>
      </c>
      <c r="Q212" s="67"/>
    </row>
    <row r="213" spans="1:17" ht="15" customHeight="1" x14ac:dyDescent="0.25">
      <c r="A213" s="44"/>
      <c r="B213" s="36" t="s">
        <v>206</v>
      </c>
      <c r="C213" s="25" t="s">
        <v>215</v>
      </c>
      <c r="D213" s="26">
        <f>COUNTIFS('[1]TOTAL SUSPEK'!$F:$F,"Prigi")</f>
        <v>0</v>
      </c>
      <c r="E213" s="29"/>
      <c r="F213" s="30"/>
      <c r="G213" s="30"/>
      <c r="H213" s="30"/>
      <c r="I213" s="30"/>
      <c r="J213" s="30"/>
      <c r="K213" s="31"/>
      <c r="L213" s="31"/>
      <c r="M213" s="31"/>
      <c r="P213" s="28">
        <f t="shared" si="3"/>
        <v>0</v>
      </c>
      <c r="Q213" s="67"/>
    </row>
    <row r="214" spans="1:17" ht="15" customHeight="1" x14ac:dyDescent="0.25">
      <c r="A214" s="44"/>
      <c r="B214" s="36" t="s">
        <v>206</v>
      </c>
      <c r="C214" s="25" t="s">
        <v>216</v>
      </c>
      <c r="D214" s="26">
        <f>COUNTIFS('[1]TOTAL SUSPEK'!$F:$F,"Sarimulyo")</f>
        <v>0</v>
      </c>
      <c r="E214" s="29"/>
      <c r="F214" s="30"/>
      <c r="G214" s="30"/>
      <c r="H214" s="30"/>
      <c r="I214" s="30"/>
      <c r="J214" s="30"/>
      <c r="K214" s="31"/>
      <c r="L214" s="31"/>
      <c r="M214" s="31"/>
      <c r="P214" s="28">
        <f t="shared" si="3"/>
        <v>0</v>
      </c>
      <c r="Q214" s="67"/>
    </row>
    <row r="215" spans="1:17" ht="15" customHeight="1" x14ac:dyDescent="0.25">
      <c r="A215" s="44"/>
      <c r="B215" s="36" t="s">
        <v>206</v>
      </c>
      <c r="C215" s="25" t="s">
        <v>217</v>
      </c>
      <c r="D215" s="26">
        <f>COUNTIFS('[1]TOTAL SUSPEK'!$F:$F,"Solowire")</f>
        <v>0</v>
      </c>
      <c r="E215" s="29"/>
      <c r="F215" s="30"/>
      <c r="G215" s="30"/>
      <c r="H215" s="30"/>
      <c r="I215" s="30"/>
      <c r="J215" s="30"/>
      <c r="K215" s="31"/>
      <c r="L215" s="31"/>
      <c r="M215" s="31"/>
      <c r="P215" s="28">
        <f t="shared" si="3"/>
        <v>0</v>
      </c>
      <c r="Q215" s="67"/>
    </row>
    <row r="216" spans="1:17" ht="15" customHeight="1" x14ac:dyDescent="0.25">
      <c r="A216" s="44"/>
      <c r="B216" s="36" t="s">
        <v>206</v>
      </c>
      <c r="C216" s="25" t="s">
        <v>218</v>
      </c>
      <c r="D216" s="26">
        <f>COUNTIFS('[1]TOTAL SUSPEK'!$F:$F,"Mangunan Lor")</f>
        <v>0</v>
      </c>
      <c r="E216" s="29"/>
      <c r="F216" s="30"/>
      <c r="G216" s="30"/>
      <c r="H216" s="30"/>
      <c r="I216" s="30"/>
      <c r="J216" s="30"/>
      <c r="K216" s="31"/>
      <c r="L216" s="31"/>
      <c r="M216" s="31"/>
      <c r="P216" s="28">
        <f t="shared" si="3"/>
        <v>0</v>
      </c>
      <c r="Q216" s="67"/>
    </row>
    <row r="217" spans="1:17" x14ac:dyDescent="0.25">
      <c r="A217" s="44">
        <v>13</v>
      </c>
      <c r="B217" s="36" t="s">
        <v>219</v>
      </c>
      <c r="C217" s="25" t="s">
        <v>220</v>
      </c>
      <c r="D217" s="26">
        <f>COUNTIFS('[1]TOTAL SUSPEK'!$F:$F,"Bedono")</f>
        <v>0</v>
      </c>
      <c r="E217" s="29" t="e">
        <f>SUM(#REF!)</f>
        <v>#REF!</v>
      </c>
      <c r="F217" s="29" t="e">
        <f>SUM(#REF!)</f>
        <v>#REF!</v>
      </c>
      <c r="G217" s="29" t="e">
        <f>SUM(#REF!)</f>
        <v>#REF!</v>
      </c>
      <c r="H217" s="29" t="e">
        <f>SUM(#REF!)</f>
        <v>#REF!</v>
      </c>
      <c r="I217" s="29" t="e">
        <f>SUM(#REF!)</f>
        <v>#REF!</v>
      </c>
      <c r="J217" s="29" t="e">
        <f>SUM(#REF!)</f>
        <v>#REF!</v>
      </c>
      <c r="K217" s="29" t="e">
        <f>SUM(#REF!)</f>
        <v>#REF!</v>
      </c>
      <c r="L217" s="29">
        <f>SUM(D217:D236)</f>
        <v>0</v>
      </c>
      <c r="M217" s="29" t="e">
        <f>SUM(#REF!)</f>
        <v>#REF!</v>
      </c>
      <c r="N217" s="45" t="s">
        <v>221</v>
      </c>
      <c r="P217" s="28">
        <f t="shared" si="3"/>
        <v>0</v>
      </c>
      <c r="Q217" s="69">
        <f>SUM(P217:P236)</f>
        <v>0</v>
      </c>
    </row>
    <row r="218" spans="1:17" x14ac:dyDescent="0.25">
      <c r="A218" s="44"/>
      <c r="B218" s="36" t="s">
        <v>219</v>
      </c>
      <c r="C218" s="25" t="s">
        <v>222</v>
      </c>
      <c r="D218" s="26">
        <f>COUNTIFS('[1]TOTAL SUSPEK'!$F:$F,"Gemulak")</f>
        <v>0</v>
      </c>
      <c r="E218" s="29"/>
      <c r="F218" s="30"/>
      <c r="G218" s="30" t="s">
        <v>223</v>
      </c>
      <c r="H218" s="30"/>
      <c r="I218" s="30"/>
      <c r="J218" s="30"/>
      <c r="K218" s="31"/>
      <c r="L218" s="31"/>
      <c r="M218" s="31"/>
      <c r="N218" s="46" t="s">
        <v>224</v>
      </c>
      <c r="P218" s="28">
        <f t="shared" si="3"/>
        <v>0</v>
      </c>
      <c r="Q218" s="67"/>
    </row>
    <row r="219" spans="1:17" x14ac:dyDescent="0.25">
      <c r="A219" s="44"/>
      <c r="B219" s="36" t="s">
        <v>219</v>
      </c>
      <c r="C219" s="25" t="s">
        <v>225</v>
      </c>
      <c r="D219" s="26">
        <f>COUNTIFS('[1]TOTAL SUSPEK'!$F:$F,"Sriwulan")</f>
        <v>0</v>
      </c>
      <c r="E219" s="29"/>
      <c r="F219" s="30"/>
      <c r="G219" s="30"/>
      <c r="H219" s="30"/>
      <c r="I219" s="30"/>
      <c r="J219" s="30"/>
      <c r="K219" s="31"/>
      <c r="L219" s="31"/>
      <c r="M219" s="31"/>
      <c r="N219" s="47" t="s">
        <v>226</v>
      </c>
      <c r="P219" s="28">
        <f t="shared" si="3"/>
        <v>0</v>
      </c>
      <c r="Q219" s="67"/>
    </row>
    <row r="220" spans="1:17" x14ac:dyDescent="0.25">
      <c r="A220" s="44"/>
      <c r="B220" s="36" t="s">
        <v>219</v>
      </c>
      <c r="C220" s="25" t="s">
        <v>227</v>
      </c>
      <c r="D220" s="26">
        <f>COUNTIFS('[1]TOTAL SUSPEK'!$F:$F,"Tugu")</f>
        <v>0</v>
      </c>
      <c r="E220" s="29"/>
      <c r="F220" s="30"/>
      <c r="G220" s="30"/>
      <c r="H220" s="30"/>
      <c r="I220" s="30"/>
      <c r="J220" s="30"/>
      <c r="K220" s="31"/>
      <c r="L220" s="31"/>
      <c r="M220" s="31"/>
      <c r="N220" s="45" t="s">
        <v>228</v>
      </c>
      <c r="P220" s="28">
        <f t="shared" si="3"/>
        <v>0</v>
      </c>
      <c r="Q220" s="67"/>
    </row>
    <row r="221" spans="1:17" x14ac:dyDescent="0.25">
      <c r="A221" s="44"/>
      <c r="B221" s="36" t="s">
        <v>219</v>
      </c>
      <c r="C221" s="25" t="s">
        <v>229</v>
      </c>
      <c r="D221" s="26">
        <f>COUNTIFS('[1]TOTAL SUSPEK'!$F:$F,"Purwosari")</f>
        <v>0</v>
      </c>
      <c r="E221" s="29"/>
      <c r="F221" s="30"/>
      <c r="G221" s="30"/>
      <c r="H221" s="30"/>
      <c r="I221" s="30"/>
      <c r="J221" s="30"/>
      <c r="K221" s="31"/>
      <c r="L221" s="31"/>
      <c r="M221" s="31"/>
      <c r="N221" s="47" t="s">
        <v>230</v>
      </c>
      <c r="P221" s="28">
        <f t="shared" si="3"/>
        <v>0</v>
      </c>
      <c r="Q221" s="67"/>
    </row>
    <row r="222" spans="1:17" x14ac:dyDescent="0.25">
      <c r="A222" s="44"/>
      <c r="B222" s="36" t="s">
        <v>219</v>
      </c>
      <c r="C222" s="25" t="s">
        <v>83</v>
      </c>
      <c r="D222" s="26">
        <f>COUNTIFS('[1]TOTAL SUSPEK'!$F:$F,"surodadi",'[1]TOTAL SUSPEK'!$E:$E,"sayung")</f>
        <v>0</v>
      </c>
      <c r="E222" s="29"/>
      <c r="F222" s="30"/>
      <c r="G222" s="30"/>
      <c r="H222" s="30"/>
      <c r="I222" s="30"/>
      <c r="J222" s="30"/>
      <c r="K222" s="31"/>
      <c r="L222" s="31"/>
      <c r="M222" s="31"/>
      <c r="N222" s="48" t="s">
        <v>231</v>
      </c>
      <c r="P222" s="28">
        <f t="shared" si="3"/>
        <v>0</v>
      </c>
      <c r="Q222" s="67"/>
    </row>
    <row r="223" spans="1:17" x14ac:dyDescent="0.25">
      <c r="A223" s="44"/>
      <c r="B223" s="36" t="s">
        <v>219</v>
      </c>
      <c r="C223" s="25" t="s">
        <v>187</v>
      </c>
      <c r="D223" s="26">
        <f>COUNTIFS('[1]TOTAL SUSPEK'!$F:$F,"sidorejo",'[1]TOTAL SUSPEK'!$E:$E,"sayung")</f>
        <v>0</v>
      </c>
      <c r="E223" s="29"/>
      <c r="F223" s="30"/>
      <c r="G223" s="30"/>
      <c r="H223" s="30"/>
      <c r="I223" s="30"/>
      <c r="J223" s="30"/>
      <c r="K223" s="31"/>
      <c r="L223" s="31"/>
      <c r="M223" s="31"/>
      <c r="N223" s="48" t="s">
        <v>231</v>
      </c>
      <c r="P223" s="28">
        <f t="shared" si="3"/>
        <v>0</v>
      </c>
      <c r="Q223" s="67"/>
    </row>
    <row r="224" spans="1:17" x14ac:dyDescent="0.25">
      <c r="A224" s="44"/>
      <c r="B224" s="36" t="s">
        <v>219</v>
      </c>
      <c r="C224" s="25" t="s">
        <v>232</v>
      </c>
      <c r="D224" s="26">
        <f>COUNTIFS('[1]TOTAL SUSPEK'!$F:$F,"Timbulsloko")</f>
        <v>0</v>
      </c>
      <c r="E224" s="29"/>
      <c r="F224" s="30"/>
      <c r="G224" s="30"/>
      <c r="H224" s="30"/>
      <c r="I224" s="30"/>
      <c r="J224" s="30"/>
      <c r="K224" s="31"/>
      <c r="L224" s="31"/>
      <c r="M224" s="31"/>
      <c r="N224" s="47" t="s">
        <v>230</v>
      </c>
      <c r="P224" s="28">
        <f t="shared" si="3"/>
        <v>0</v>
      </c>
      <c r="Q224" s="67"/>
    </row>
    <row r="225" spans="1:17" x14ac:dyDescent="0.25">
      <c r="A225" s="44"/>
      <c r="B225" s="36" t="s">
        <v>219</v>
      </c>
      <c r="C225" s="25" t="s">
        <v>77</v>
      </c>
      <c r="D225" s="26">
        <f>COUNTIFS('[1]TOTAL SUSPEK'!$F:$F,"banjarsari",'[1]TOTAL SUSPEK'!$E:$E,"sayung")</f>
        <v>0</v>
      </c>
      <c r="E225" s="29"/>
      <c r="F225" s="30"/>
      <c r="G225" s="30"/>
      <c r="H225" s="30"/>
      <c r="I225" s="30"/>
      <c r="J225" s="30"/>
      <c r="K225" s="31"/>
      <c r="L225" s="31"/>
      <c r="M225" s="31"/>
      <c r="N225" s="45" t="s">
        <v>233</v>
      </c>
      <c r="P225" s="28">
        <f t="shared" si="3"/>
        <v>0</v>
      </c>
      <c r="Q225" s="67"/>
    </row>
    <row r="226" spans="1:17" x14ac:dyDescent="0.25">
      <c r="A226" s="44"/>
      <c r="B226" s="36" t="s">
        <v>219</v>
      </c>
      <c r="C226" s="25" t="s">
        <v>234</v>
      </c>
      <c r="D226" s="26">
        <f>COUNTIFS('[1]TOTAL SUSPEK'!$F:$F,"sidogemah")</f>
        <v>0</v>
      </c>
      <c r="E226" s="29"/>
      <c r="F226" s="30"/>
      <c r="G226" s="30"/>
      <c r="H226" s="30"/>
      <c r="I226" s="30"/>
      <c r="J226" s="30"/>
      <c r="K226" s="31"/>
      <c r="L226" s="31"/>
      <c r="M226" s="31"/>
      <c r="N226" s="47" t="s">
        <v>235</v>
      </c>
      <c r="P226" s="28">
        <f t="shared" si="3"/>
        <v>0</v>
      </c>
      <c r="Q226" s="67"/>
    </row>
    <row r="227" spans="1:17" x14ac:dyDescent="0.25">
      <c r="A227" s="44"/>
      <c r="B227" s="36" t="s">
        <v>219</v>
      </c>
      <c r="C227" s="25" t="s">
        <v>236</v>
      </c>
      <c r="D227" s="26">
        <f>COUNTIFS('[1]TOTAL SUSPEK'!$F:$F,"Tambakroto")</f>
        <v>0</v>
      </c>
      <c r="E227" s="29"/>
      <c r="F227" s="30"/>
      <c r="G227" s="30"/>
      <c r="H227" s="30"/>
      <c r="I227" s="30"/>
      <c r="J227" s="30"/>
      <c r="K227" s="31"/>
      <c r="L227" s="31"/>
      <c r="M227" s="31"/>
      <c r="N227" s="47" t="s">
        <v>230</v>
      </c>
      <c r="P227" s="28">
        <f t="shared" si="3"/>
        <v>0</v>
      </c>
      <c r="Q227" s="67"/>
    </row>
    <row r="228" spans="1:17" x14ac:dyDescent="0.25">
      <c r="A228" s="44"/>
      <c r="B228" s="36" t="s">
        <v>219</v>
      </c>
      <c r="C228" s="25" t="s">
        <v>237</v>
      </c>
      <c r="D228" s="26">
        <f>COUNTIFS('[1]TOTAL SUSPEK'!$F:$F,"Kalisari")</f>
        <v>0</v>
      </c>
      <c r="E228" s="29"/>
      <c r="F228" s="30"/>
      <c r="G228" s="30"/>
      <c r="H228" s="30"/>
      <c r="I228" s="30"/>
      <c r="J228" s="30"/>
      <c r="K228" s="31"/>
      <c r="L228" s="31"/>
      <c r="M228" s="31"/>
      <c r="P228" s="28">
        <f t="shared" si="3"/>
        <v>0</v>
      </c>
      <c r="Q228" s="67"/>
    </row>
    <row r="229" spans="1:17" x14ac:dyDescent="0.25">
      <c r="A229" s="44"/>
      <c r="B229" s="36" t="s">
        <v>219</v>
      </c>
      <c r="C229" s="25" t="s">
        <v>238</v>
      </c>
      <c r="D229" s="26">
        <f>COUNTIFS('[1]TOTAL SUSPEK'!$F:$F,"Dombo")</f>
        <v>0</v>
      </c>
      <c r="E229" s="29"/>
      <c r="F229" s="30"/>
      <c r="G229" s="30"/>
      <c r="H229" s="30"/>
      <c r="I229" s="30"/>
      <c r="J229" s="30"/>
      <c r="K229" s="31"/>
      <c r="L229" s="31"/>
      <c r="M229" s="31"/>
      <c r="P229" s="28">
        <f t="shared" si="3"/>
        <v>0</v>
      </c>
      <c r="Q229" s="67"/>
    </row>
    <row r="230" spans="1:17" x14ac:dyDescent="0.25">
      <c r="A230" s="44"/>
      <c r="B230" s="36" t="s">
        <v>219</v>
      </c>
      <c r="C230" s="25" t="s">
        <v>239</v>
      </c>
      <c r="D230" s="26">
        <f>COUNTIFS('[1]TOTAL SUSPEK'!$F:$F,"Bulusari")</f>
        <v>0</v>
      </c>
      <c r="E230" s="29"/>
      <c r="F230" s="30"/>
      <c r="G230" s="30"/>
      <c r="H230" s="30"/>
      <c r="I230" s="30"/>
      <c r="J230" s="30"/>
      <c r="K230" s="31"/>
      <c r="L230" s="31"/>
      <c r="M230" s="31"/>
      <c r="P230" s="28">
        <f t="shared" si="3"/>
        <v>0</v>
      </c>
      <c r="Q230" s="67"/>
    </row>
    <row r="231" spans="1:17" x14ac:dyDescent="0.25">
      <c r="A231" s="44"/>
      <c r="B231" s="36" t="s">
        <v>219</v>
      </c>
      <c r="C231" s="25" t="s">
        <v>240</v>
      </c>
      <c r="D231" s="26">
        <f>COUNTIFS('[1]TOTAL SUSPEK'!$F:$F,"Jetaksari")</f>
        <v>0</v>
      </c>
      <c r="E231" s="29"/>
      <c r="F231" s="30"/>
      <c r="G231" s="30"/>
      <c r="H231" s="30"/>
      <c r="I231" s="30"/>
      <c r="J231" s="30"/>
      <c r="K231" s="31"/>
      <c r="L231" s="31"/>
      <c r="M231" s="31"/>
      <c r="P231" s="28">
        <f t="shared" si="3"/>
        <v>0</v>
      </c>
      <c r="Q231" s="67"/>
    </row>
    <row r="232" spans="1:17" x14ac:dyDescent="0.25">
      <c r="A232" s="44"/>
      <c r="B232" s="36" t="s">
        <v>219</v>
      </c>
      <c r="C232" s="25" t="s">
        <v>241</v>
      </c>
      <c r="D232" s="26">
        <f>COUNTIFS('[1]TOTAL SUSPEK'!$F:$F,"Karangasem")</f>
        <v>0</v>
      </c>
      <c r="E232" s="29"/>
      <c r="F232" s="30"/>
      <c r="G232" s="30"/>
      <c r="H232" s="30"/>
      <c r="I232" s="30"/>
      <c r="J232" s="30"/>
      <c r="K232" s="31"/>
      <c r="L232" s="31"/>
      <c r="M232" s="31"/>
      <c r="P232" s="28">
        <f t="shared" si="3"/>
        <v>0</v>
      </c>
      <c r="Q232" s="67"/>
    </row>
    <row r="233" spans="1:17" x14ac:dyDescent="0.25">
      <c r="A233" s="44"/>
      <c r="B233" s="36" t="s">
        <v>219</v>
      </c>
      <c r="C233" s="25" t="s">
        <v>242</v>
      </c>
      <c r="D233" s="26">
        <f>COUNTIFS('[1]TOTAL SUSPEK'!$F:$F,"Prampelan")</f>
        <v>0</v>
      </c>
      <c r="E233" s="29"/>
      <c r="F233" s="30"/>
      <c r="G233" s="30"/>
      <c r="H233" s="30"/>
      <c r="I233" s="30"/>
      <c r="J233" s="30"/>
      <c r="K233" s="31"/>
      <c r="L233" s="31"/>
      <c r="M233" s="31"/>
      <c r="P233" s="28">
        <f t="shared" si="3"/>
        <v>0</v>
      </c>
      <c r="Q233" s="67"/>
    </row>
    <row r="234" spans="1:17" x14ac:dyDescent="0.25">
      <c r="A234" s="44"/>
      <c r="B234" s="36" t="s">
        <v>219</v>
      </c>
      <c r="C234" s="25" t="s">
        <v>243</v>
      </c>
      <c r="D234" s="26">
        <f>COUNTIFS('[1]TOTAL SUSPEK'!$F:$F,"Sayung")</f>
        <v>0</v>
      </c>
      <c r="E234" s="29"/>
      <c r="F234" s="30"/>
      <c r="G234" s="30"/>
      <c r="H234" s="30"/>
      <c r="I234" s="30"/>
      <c r="J234" s="30"/>
      <c r="K234" s="31"/>
      <c r="L234" s="31"/>
      <c r="M234" s="31"/>
      <c r="P234" s="28">
        <f t="shared" si="3"/>
        <v>0</v>
      </c>
      <c r="Q234" s="67"/>
    </row>
    <row r="235" spans="1:17" x14ac:dyDescent="0.25">
      <c r="A235" s="44"/>
      <c r="B235" s="36" t="s">
        <v>219</v>
      </c>
      <c r="C235" s="25" t="s">
        <v>244</v>
      </c>
      <c r="D235" s="26">
        <f>COUNTIFS('[1]TOTAL SUSPEK'!$F:$F,"Pilangsari")</f>
        <v>0</v>
      </c>
      <c r="E235" s="29"/>
      <c r="F235" s="30"/>
      <c r="G235" s="30"/>
      <c r="H235" s="30"/>
      <c r="I235" s="30"/>
      <c r="J235" s="30"/>
      <c r="K235" s="31"/>
      <c r="L235" s="31"/>
      <c r="M235" s="31"/>
      <c r="P235" s="28">
        <f t="shared" si="3"/>
        <v>0</v>
      </c>
      <c r="Q235" s="67"/>
    </row>
    <row r="236" spans="1:17" x14ac:dyDescent="0.25">
      <c r="A236" s="44"/>
      <c r="B236" s="36" t="s">
        <v>219</v>
      </c>
      <c r="C236" s="25" t="s">
        <v>245</v>
      </c>
      <c r="D236" s="26">
        <f>COUNTIFS('[1]TOTAL SUSPEK'!$F:$F,"loireng")</f>
        <v>0</v>
      </c>
      <c r="E236" s="29"/>
      <c r="F236" s="30"/>
      <c r="G236" s="30"/>
      <c r="H236" s="30"/>
      <c r="I236" s="30"/>
      <c r="J236" s="30"/>
      <c r="K236" s="31"/>
      <c r="L236" s="31"/>
      <c r="M236" s="31"/>
      <c r="P236" s="28">
        <f t="shared" si="3"/>
        <v>0</v>
      </c>
      <c r="Q236" s="67"/>
    </row>
    <row r="237" spans="1:17" x14ac:dyDescent="0.25">
      <c r="A237" s="44">
        <v>14</v>
      </c>
      <c r="B237" s="36" t="s">
        <v>246</v>
      </c>
      <c r="C237" s="25" t="s">
        <v>246</v>
      </c>
      <c r="D237" s="26">
        <f>COUNTIFS('[1]TOTAL SUSPEK'!$F:$F,"Wedung")</f>
        <v>0</v>
      </c>
      <c r="E237" s="29" t="e">
        <f>SUM(#REF!)</f>
        <v>#REF!</v>
      </c>
      <c r="F237" s="29" t="e">
        <f>SUM(#REF!)</f>
        <v>#REF!</v>
      </c>
      <c r="G237" s="29" t="e">
        <f>SUM(#REF!)</f>
        <v>#REF!</v>
      </c>
      <c r="H237" s="29" t="e">
        <f>SUM(#REF!)</f>
        <v>#REF!</v>
      </c>
      <c r="I237" s="29" t="e">
        <f>SUM(#REF!)</f>
        <v>#REF!</v>
      </c>
      <c r="J237" s="29" t="e">
        <f>SUM(#REF!)</f>
        <v>#REF!</v>
      </c>
      <c r="K237" s="29" t="e">
        <f>SUM(#REF!)</f>
        <v>#REF!</v>
      </c>
      <c r="L237" s="29">
        <f>SUM(D237:D256)</f>
        <v>0</v>
      </c>
      <c r="M237" s="29" t="e">
        <f>SUM(#REF!)</f>
        <v>#REF!</v>
      </c>
      <c r="P237" s="28">
        <f t="shared" si="3"/>
        <v>0</v>
      </c>
      <c r="Q237" s="69">
        <f>SUM(P237:P256)</f>
        <v>0</v>
      </c>
    </row>
    <row r="238" spans="1:17" x14ac:dyDescent="0.25">
      <c r="A238" s="44"/>
      <c r="B238" s="36" t="s">
        <v>246</v>
      </c>
      <c r="C238" s="25" t="s">
        <v>247</v>
      </c>
      <c r="D238" s="26">
        <f>COUNTIFS('[1]TOTAL SUSPEK'!$F:$F,"Ruwit")</f>
        <v>0</v>
      </c>
      <c r="E238" s="29"/>
      <c r="F238" s="30"/>
      <c r="G238" s="30"/>
      <c r="H238" s="30"/>
      <c r="I238" s="30"/>
      <c r="J238" s="30"/>
      <c r="K238" s="31"/>
      <c r="L238" s="31"/>
      <c r="M238" s="31"/>
      <c r="P238" s="28">
        <f t="shared" si="3"/>
        <v>0</v>
      </c>
      <c r="Q238" s="67"/>
    </row>
    <row r="239" spans="1:17" x14ac:dyDescent="0.25">
      <c r="A239" s="44"/>
      <c r="B239" s="36" t="s">
        <v>246</v>
      </c>
      <c r="C239" s="25" t="s">
        <v>248</v>
      </c>
      <c r="D239" s="26">
        <f>COUNTIFS('[1]TOTAL SUSPEK'!$F:$F,"Bungo")</f>
        <v>0</v>
      </c>
      <c r="E239" s="29"/>
      <c r="F239" s="30"/>
      <c r="G239" s="30"/>
      <c r="H239" s="30"/>
      <c r="I239" s="30"/>
      <c r="J239" s="30"/>
      <c r="K239" s="31"/>
      <c r="L239" s="31"/>
      <c r="M239" s="31"/>
      <c r="P239" s="28">
        <f t="shared" si="3"/>
        <v>0</v>
      </c>
      <c r="Q239" s="67"/>
    </row>
    <row r="240" spans="1:17" x14ac:dyDescent="0.25">
      <c r="A240" s="44"/>
      <c r="B240" s="36" t="s">
        <v>246</v>
      </c>
      <c r="C240" s="25" t="s">
        <v>249</v>
      </c>
      <c r="D240" s="26">
        <f>COUNTIFS('[1]TOTAL SUSPEK'!$F:$F,"Ngawen")</f>
        <v>0</v>
      </c>
      <c r="E240" s="29"/>
      <c r="F240" s="30"/>
      <c r="G240" s="30"/>
      <c r="H240" s="30"/>
      <c r="I240" s="30"/>
      <c r="J240" s="30"/>
      <c r="K240" s="31"/>
      <c r="L240" s="31"/>
      <c r="M240" s="31"/>
      <c r="P240" s="28">
        <f t="shared" si="3"/>
        <v>0</v>
      </c>
      <c r="Q240" s="67"/>
    </row>
    <row r="241" spans="1:17" x14ac:dyDescent="0.25">
      <c r="A241" s="44"/>
      <c r="B241" s="36" t="s">
        <v>246</v>
      </c>
      <c r="C241" s="25" t="s">
        <v>250</v>
      </c>
      <c r="D241" s="26">
        <f>COUNTIFS('[1]TOTAL SUSPEK'!$F:$F,"Kenduren")</f>
        <v>0</v>
      </c>
      <c r="E241" s="29"/>
      <c r="F241" s="30"/>
      <c r="G241" s="30"/>
      <c r="H241" s="30"/>
      <c r="I241" s="30"/>
      <c r="J241" s="30"/>
      <c r="K241" s="31"/>
      <c r="L241" s="31"/>
      <c r="M241" s="31"/>
      <c r="P241" s="28">
        <f t="shared" si="3"/>
        <v>0</v>
      </c>
      <c r="Q241" s="67"/>
    </row>
    <row r="242" spans="1:17" x14ac:dyDescent="0.25">
      <c r="A242" s="44"/>
      <c r="B242" s="36" t="s">
        <v>246</v>
      </c>
      <c r="C242" s="25" t="s">
        <v>251</v>
      </c>
      <c r="D242" s="26">
        <f>COUNTIFS('[1]TOTAL SUSPEK'!$F:$F,"Buko")</f>
        <v>0</v>
      </c>
      <c r="E242" s="29"/>
      <c r="F242" s="30"/>
      <c r="G242" s="30"/>
      <c r="H242" s="30"/>
      <c r="I242" s="30"/>
      <c r="J242" s="30"/>
      <c r="K242" s="31"/>
      <c r="L242" s="31"/>
      <c r="M242" s="31"/>
      <c r="P242" s="28">
        <f t="shared" si="3"/>
        <v>0</v>
      </c>
      <c r="Q242" s="67"/>
    </row>
    <row r="243" spans="1:17" x14ac:dyDescent="0.25">
      <c r="A243" s="44"/>
      <c r="B243" s="36" t="s">
        <v>246</v>
      </c>
      <c r="C243" s="25" t="s">
        <v>252</v>
      </c>
      <c r="D243" s="26">
        <f>COUNTIFS('[1]TOTAL SUSPEK'!$F:$F,"Mandung")</f>
        <v>0</v>
      </c>
      <c r="E243" s="29"/>
      <c r="F243" s="30"/>
      <c r="G243" s="30"/>
      <c r="H243" s="30"/>
      <c r="I243" s="30"/>
      <c r="J243" s="30"/>
      <c r="K243" s="31"/>
      <c r="L243" s="31"/>
      <c r="M243" s="31"/>
      <c r="P243" s="28">
        <f t="shared" si="3"/>
        <v>0</v>
      </c>
      <c r="Q243" s="67"/>
    </row>
    <row r="244" spans="1:17" x14ac:dyDescent="0.25">
      <c r="A244" s="44"/>
      <c r="B244" s="36" t="s">
        <v>246</v>
      </c>
      <c r="C244" s="25" t="s">
        <v>253</v>
      </c>
      <c r="D244" s="26">
        <f>COUNTIFS('[1]TOTAL SUSPEK'!$F:$F,"Berahan Wetan")</f>
        <v>0</v>
      </c>
      <c r="E244" s="29"/>
      <c r="F244" s="30"/>
      <c r="G244" s="30"/>
      <c r="H244" s="30"/>
      <c r="I244" s="30"/>
      <c r="J244" s="30"/>
      <c r="K244" s="31"/>
      <c r="L244" s="31"/>
      <c r="M244" s="31"/>
      <c r="P244" s="28">
        <f t="shared" si="3"/>
        <v>0</v>
      </c>
      <c r="Q244" s="67"/>
    </row>
    <row r="245" spans="1:17" x14ac:dyDescent="0.25">
      <c r="A245" s="44"/>
      <c r="B245" s="36" t="s">
        <v>246</v>
      </c>
      <c r="C245" s="25" t="s">
        <v>254</v>
      </c>
      <c r="D245" s="26">
        <f>COUNTIFS('[1]TOTAL SUSPEK'!$F:$F,"Berahan Kulon")</f>
        <v>0</v>
      </c>
      <c r="E245" s="29"/>
      <c r="F245" s="30"/>
      <c r="G245" s="30"/>
      <c r="H245" s="30"/>
      <c r="I245" s="30"/>
      <c r="J245" s="30"/>
      <c r="K245" s="31"/>
      <c r="L245" s="31"/>
      <c r="M245" s="31"/>
      <c r="P245" s="28">
        <f t="shared" si="3"/>
        <v>0</v>
      </c>
      <c r="Q245" s="67"/>
    </row>
    <row r="246" spans="1:17" x14ac:dyDescent="0.25">
      <c r="A246" s="44"/>
      <c r="B246" s="36" t="s">
        <v>246</v>
      </c>
      <c r="C246" s="25" t="s">
        <v>255</v>
      </c>
      <c r="D246" s="26">
        <f>COUNTIFS('[1]TOTAL SUSPEK'!$F:$F,"Tempel")</f>
        <v>0</v>
      </c>
      <c r="E246" s="29"/>
      <c r="F246" s="30"/>
      <c r="G246" s="30"/>
      <c r="H246" s="30"/>
      <c r="I246" s="30"/>
      <c r="J246" s="30"/>
      <c r="K246" s="31"/>
      <c r="L246" s="31"/>
      <c r="M246" s="31"/>
      <c r="P246" s="28">
        <f t="shared" si="3"/>
        <v>0</v>
      </c>
      <c r="Q246" s="67"/>
    </row>
    <row r="247" spans="1:17" x14ac:dyDescent="0.25">
      <c r="A247" s="44"/>
      <c r="B247" s="36" t="s">
        <v>246</v>
      </c>
      <c r="C247" s="25" t="s">
        <v>256</v>
      </c>
      <c r="D247" s="26">
        <f>COUNTIFS('[1]TOTAL SUSPEK'!$F:$F,"Kedungkarang")</f>
        <v>0</v>
      </c>
      <c r="E247" s="29"/>
      <c r="F247" s="30"/>
      <c r="G247" s="30"/>
      <c r="H247" s="30"/>
      <c r="I247" s="30"/>
      <c r="J247" s="30"/>
      <c r="K247" s="31"/>
      <c r="L247" s="31"/>
      <c r="M247" s="31"/>
      <c r="P247" s="28">
        <f t="shared" si="3"/>
        <v>0</v>
      </c>
      <c r="Q247" s="67"/>
    </row>
    <row r="248" spans="1:17" x14ac:dyDescent="0.25">
      <c r="A248" s="44"/>
      <c r="B248" s="36" t="s">
        <v>246</v>
      </c>
      <c r="C248" s="25" t="s">
        <v>257</v>
      </c>
      <c r="D248" s="26">
        <f>COUNTIFS('[1]TOTAL SUSPEK'!$F:$F,"Kedungmutih")</f>
        <v>0</v>
      </c>
      <c r="E248" s="29"/>
      <c r="F248" s="30"/>
      <c r="G248" s="30"/>
      <c r="H248" s="30"/>
      <c r="I248" s="30"/>
      <c r="J248" s="30"/>
      <c r="K248" s="31"/>
      <c r="L248" s="31"/>
      <c r="M248" s="31"/>
      <c r="P248" s="28">
        <f t="shared" si="3"/>
        <v>0</v>
      </c>
      <c r="Q248" s="67"/>
    </row>
    <row r="249" spans="1:17" x14ac:dyDescent="0.25">
      <c r="A249" s="44"/>
      <c r="B249" s="36" t="s">
        <v>246</v>
      </c>
      <c r="C249" s="25" t="s">
        <v>258</v>
      </c>
      <c r="D249" s="26">
        <f>COUNTIFS('[1]TOTAL SUSPEK'!$F:$F,"Jungsemi")</f>
        <v>0</v>
      </c>
      <c r="E249" s="29"/>
      <c r="F249" s="30"/>
      <c r="G249" s="30"/>
      <c r="H249" s="30"/>
      <c r="I249" s="30"/>
      <c r="J249" s="30"/>
      <c r="K249" s="31"/>
      <c r="L249" s="31"/>
      <c r="M249" s="31"/>
      <c r="P249" s="28">
        <f t="shared" si="3"/>
        <v>0</v>
      </c>
      <c r="Q249" s="67"/>
    </row>
    <row r="250" spans="1:17" x14ac:dyDescent="0.25">
      <c r="A250" s="44"/>
      <c r="B250" s="36" t="s">
        <v>246</v>
      </c>
      <c r="C250" s="25" t="s">
        <v>259</v>
      </c>
      <c r="D250" s="26">
        <f>COUNTIFS('[1]TOTAL SUSPEK'!$F:$F,"Jetak")</f>
        <v>0</v>
      </c>
      <c r="E250" s="29"/>
      <c r="F250" s="30"/>
      <c r="G250" s="30"/>
      <c r="H250" s="30"/>
      <c r="I250" s="30"/>
      <c r="J250" s="30"/>
      <c r="K250" s="31"/>
      <c r="L250" s="31"/>
      <c r="M250" s="31"/>
      <c r="P250" s="28">
        <f t="shared" si="3"/>
        <v>0</v>
      </c>
      <c r="Q250" s="67"/>
    </row>
    <row r="251" spans="1:17" x14ac:dyDescent="0.25">
      <c r="A251" s="44"/>
      <c r="B251" s="36" t="s">
        <v>246</v>
      </c>
      <c r="C251" s="25" t="s">
        <v>260</v>
      </c>
      <c r="D251" s="26">
        <f>COUNTIFS('[1]TOTAL SUSPEK'!$F:$F,"Jungpasir")</f>
        <v>0</v>
      </c>
      <c r="E251" s="29"/>
      <c r="F251" s="30"/>
      <c r="G251" s="30"/>
      <c r="H251" s="30"/>
      <c r="I251" s="30"/>
      <c r="J251" s="30"/>
      <c r="K251" s="31"/>
      <c r="L251" s="31"/>
      <c r="M251" s="31"/>
      <c r="P251" s="28">
        <f t="shared" si="3"/>
        <v>0</v>
      </c>
      <c r="Q251" s="67"/>
    </row>
    <row r="252" spans="1:17" x14ac:dyDescent="0.25">
      <c r="A252" s="44"/>
      <c r="B252" s="36" t="s">
        <v>246</v>
      </c>
      <c r="C252" s="25" t="s">
        <v>261</v>
      </c>
      <c r="D252" s="26">
        <f>COUNTIFS('[1]TOTAL SUSPEK'!$F:$F,"Mutih kulon")</f>
        <v>0</v>
      </c>
      <c r="E252" s="29"/>
      <c r="F252" s="30"/>
      <c r="G252" s="30"/>
      <c r="H252" s="30"/>
      <c r="I252" s="30"/>
      <c r="J252" s="30"/>
      <c r="K252" s="31"/>
      <c r="L252" s="31"/>
      <c r="M252" s="31"/>
      <c r="P252" s="28">
        <f t="shared" si="3"/>
        <v>0</v>
      </c>
      <c r="Q252" s="67"/>
    </row>
    <row r="253" spans="1:17" x14ac:dyDescent="0.25">
      <c r="A253" s="44"/>
      <c r="B253" s="36" t="s">
        <v>246</v>
      </c>
      <c r="C253" s="25" t="s">
        <v>262</v>
      </c>
      <c r="D253" s="26">
        <f>COUNTIFS('[1]TOTAL SUSPEK'!$F:$F,"Mutih Wetan")</f>
        <v>0</v>
      </c>
      <c r="E253" s="29"/>
      <c r="F253" s="30"/>
      <c r="G253" s="30"/>
      <c r="H253" s="30"/>
      <c r="I253" s="30"/>
      <c r="J253" s="30"/>
      <c r="K253" s="31"/>
      <c r="L253" s="31"/>
      <c r="M253" s="31"/>
      <c r="P253" s="28">
        <f t="shared" si="3"/>
        <v>0</v>
      </c>
      <c r="Q253" s="67"/>
    </row>
    <row r="254" spans="1:17" x14ac:dyDescent="0.25">
      <c r="A254" s="44"/>
      <c r="B254" s="36" t="s">
        <v>246</v>
      </c>
      <c r="C254" s="25" t="s">
        <v>263</v>
      </c>
      <c r="D254" s="26">
        <f>COUNTIFS('[1]TOTAL SUSPEK'!$F:$F,"Kendalasem")</f>
        <v>0</v>
      </c>
      <c r="E254" s="29"/>
      <c r="F254" s="30"/>
      <c r="G254" s="30"/>
      <c r="H254" s="30"/>
      <c r="I254" s="30"/>
      <c r="J254" s="30"/>
      <c r="K254" s="31"/>
      <c r="L254" s="31"/>
      <c r="M254" s="31"/>
      <c r="P254" s="28">
        <f t="shared" si="3"/>
        <v>0</v>
      </c>
      <c r="Q254" s="67"/>
    </row>
    <row r="255" spans="1:17" x14ac:dyDescent="0.25">
      <c r="A255" s="44"/>
      <c r="B255" s="36" t="s">
        <v>246</v>
      </c>
      <c r="C255" s="25" t="s">
        <v>264</v>
      </c>
      <c r="D255" s="26">
        <f>COUNTIFS('[1]TOTAL SUSPEK'!$F:$F,"Babalan")</f>
        <v>0</v>
      </c>
      <c r="E255" s="29"/>
      <c r="F255" s="30"/>
      <c r="G255" s="30"/>
      <c r="H255" s="30"/>
      <c r="I255" s="30"/>
      <c r="J255" s="30"/>
      <c r="K255" s="31"/>
      <c r="L255" s="31"/>
      <c r="M255" s="31"/>
      <c r="P255" s="28">
        <f t="shared" si="3"/>
        <v>0</v>
      </c>
      <c r="Q255" s="67"/>
    </row>
    <row r="256" spans="1:17" x14ac:dyDescent="0.25">
      <c r="A256" s="44"/>
      <c r="B256" s="36" t="s">
        <v>246</v>
      </c>
      <c r="C256" s="25" t="s">
        <v>265</v>
      </c>
      <c r="D256" s="26">
        <f>COUNTIFS('[1]TOTAL SUSPEK'!$F:$F,"Tedunan")</f>
        <v>0</v>
      </c>
      <c r="E256" s="29"/>
      <c r="F256" s="30"/>
      <c r="G256" s="30"/>
      <c r="H256" s="30"/>
      <c r="I256" s="30"/>
      <c r="J256" s="30"/>
      <c r="K256" s="31"/>
      <c r="L256" s="31"/>
      <c r="M256" s="31"/>
      <c r="P256" s="28">
        <f t="shared" si="3"/>
        <v>0</v>
      </c>
      <c r="Q256" s="67"/>
    </row>
    <row r="257" spans="1:17" x14ac:dyDescent="0.25">
      <c r="A257" s="49"/>
      <c r="B257" s="50" t="s">
        <v>266</v>
      </c>
      <c r="C257" s="51"/>
      <c r="D257" s="52">
        <v>0</v>
      </c>
      <c r="E257" s="53" t="e">
        <f>#REF!</f>
        <v>#REF!</v>
      </c>
      <c r="F257" s="53" t="e">
        <f>#REF!</f>
        <v>#REF!</v>
      </c>
      <c r="G257" s="53" t="e">
        <f>#REF!</f>
        <v>#REF!</v>
      </c>
      <c r="H257" s="53" t="e">
        <f>#REF!</f>
        <v>#REF!</v>
      </c>
      <c r="I257" s="53" t="e">
        <f>#REF!</f>
        <v>#REF!</v>
      </c>
      <c r="J257" s="53" t="e">
        <f>#REF!</f>
        <v>#REF!</v>
      </c>
      <c r="K257" s="53" t="e">
        <f>#REF!</f>
        <v>#REF!</v>
      </c>
      <c r="L257" s="53">
        <f>D257</f>
        <v>0</v>
      </c>
      <c r="M257" s="53" t="e">
        <f>#REF!</f>
        <v>#REF!</v>
      </c>
      <c r="P257" s="28">
        <f t="shared" si="3"/>
        <v>0</v>
      </c>
      <c r="Q257" s="67">
        <f>D257</f>
        <v>0</v>
      </c>
    </row>
    <row r="258" spans="1:17" ht="15" customHeight="1" x14ac:dyDescent="0.25">
      <c r="A258" s="54" t="s">
        <v>267</v>
      </c>
      <c r="B258" s="55"/>
      <c r="C258" s="56"/>
      <c r="D258" s="57">
        <f>SUM(D8:D257)</f>
        <v>0</v>
      </c>
      <c r="E258" s="58" t="e">
        <f t="shared" ref="E258:M258" si="4">SUM(E8:E257)</f>
        <v>#REF!</v>
      </c>
      <c r="F258" s="58" t="e">
        <f t="shared" si="4"/>
        <v>#REF!</v>
      </c>
      <c r="G258" s="58" t="e">
        <f t="shared" si="4"/>
        <v>#REF!</v>
      </c>
      <c r="H258" s="58" t="e">
        <f t="shared" si="4"/>
        <v>#REF!</v>
      </c>
      <c r="I258" s="58" t="e">
        <f t="shared" si="4"/>
        <v>#REF!</v>
      </c>
      <c r="J258" s="58" t="e">
        <f t="shared" si="4"/>
        <v>#REF!</v>
      </c>
      <c r="K258" s="58" t="e">
        <f t="shared" si="4"/>
        <v>#REF!</v>
      </c>
      <c r="L258" s="58">
        <f t="shared" si="4"/>
        <v>0</v>
      </c>
      <c r="M258" s="58" t="e">
        <f t="shared" si="4"/>
        <v>#REF!</v>
      </c>
      <c r="O258" s="3">
        <f>SUM(O8:O257)</f>
        <v>0</v>
      </c>
      <c r="P258" s="59">
        <f>SUM(P8:P257)</f>
        <v>0</v>
      </c>
      <c r="Q258" s="57">
        <f>SUM(Q8:Q257)</f>
        <v>0</v>
      </c>
    </row>
    <row r="259" spans="1:17" ht="15" customHeight="1" x14ac:dyDescent="0.25">
      <c r="A259" s="60"/>
      <c r="B259" s="61"/>
      <c r="C259" s="62"/>
      <c r="D259" s="62"/>
    </row>
    <row r="260" spans="1:17" ht="15" customHeight="1" x14ac:dyDescent="0.25">
      <c r="A260" s="63"/>
      <c r="B260" s="64"/>
    </row>
    <row r="261" spans="1:17" ht="15" customHeight="1" x14ac:dyDescent="0.25">
      <c r="A261" s="63"/>
    </row>
    <row r="262" spans="1:17" x14ac:dyDescent="0.25">
      <c r="A262" s="63"/>
    </row>
    <row r="263" spans="1:17" x14ac:dyDescent="0.25">
      <c r="A263" s="63"/>
    </row>
    <row r="264" spans="1:17" x14ac:dyDescent="0.25">
      <c r="A264" s="63"/>
    </row>
    <row r="265" spans="1:17" x14ac:dyDescent="0.25">
      <c r="A265" s="63"/>
    </row>
    <row r="266" spans="1:17" x14ac:dyDescent="0.25">
      <c r="A266" s="63"/>
      <c r="D266" s="62"/>
    </row>
    <row r="267" spans="1:17" x14ac:dyDescent="0.25">
      <c r="A267" s="63"/>
    </row>
    <row r="268" spans="1:17" x14ac:dyDescent="0.25">
      <c r="A268" s="63"/>
    </row>
    <row r="269" spans="1:17" x14ac:dyDescent="0.25">
      <c r="A269" s="63"/>
    </row>
    <row r="270" spans="1:17" x14ac:dyDescent="0.25">
      <c r="A270" s="63"/>
    </row>
    <row r="271" spans="1:17" x14ac:dyDescent="0.25">
      <c r="A271" s="63"/>
    </row>
    <row r="272" spans="1:17" x14ac:dyDescent="0.25">
      <c r="A272" s="63"/>
    </row>
    <row r="273" spans="1:1" customFormat="1" x14ac:dyDescent="0.25">
      <c r="A273" s="63"/>
    </row>
    <row r="274" spans="1:1" customFormat="1" x14ac:dyDescent="0.25">
      <c r="A274" s="63"/>
    </row>
    <row r="275" spans="1:1" customFormat="1" x14ac:dyDescent="0.25">
      <c r="A275" s="63"/>
    </row>
    <row r="276" spans="1:1" customFormat="1" x14ac:dyDescent="0.25">
      <c r="A276" s="63"/>
    </row>
    <row r="277" spans="1:1" customFormat="1" x14ac:dyDescent="0.25">
      <c r="A277" s="63"/>
    </row>
    <row r="278" spans="1:1" customFormat="1" x14ac:dyDescent="0.25">
      <c r="A278" s="63"/>
    </row>
    <row r="279" spans="1:1" customFormat="1" x14ac:dyDescent="0.25">
      <c r="A279" s="63"/>
    </row>
    <row r="280" spans="1:1" customFormat="1" x14ac:dyDescent="0.25">
      <c r="A280" s="63"/>
    </row>
    <row r="281" spans="1:1" customFormat="1" x14ac:dyDescent="0.25">
      <c r="A281" s="63"/>
    </row>
    <row r="282" spans="1:1" customFormat="1" x14ac:dyDescent="0.25">
      <c r="A282" s="63"/>
    </row>
    <row r="283" spans="1:1" customFormat="1" x14ac:dyDescent="0.25">
      <c r="A283" s="63"/>
    </row>
    <row r="284" spans="1:1" customFormat="1" x14ac:dyDescent="0.25">
      <c r="A284" s="63"/>
    </row>
    <row r="285" spans="1:1" customFormat="1" x14ac:dyDescent="0.25">
      <c r="A285" s="63"/>
    </row>
    <row r="286" spans="1:1" customFormat="1" x14ac:dyDescent="0.25">
      <c r="A286" s="63"/>
    </row>
    <row r="287" spans="1:1" customFormat="1" x14ac:dyDescent="0.25">
      <c r="A287" s="63"/>
    </row>
    <row r="288" spans="1:1" customFormat="1" x14ac:dyDescent="0.25">
      <c r="A288" s="63"/>
    </row>
    <row r="289" spans="1:1" customFormat="1" x14ac:dyDescent="0.25">
      <c r="A289" s="63"/>
    </row>
    <row r="290" spans="1:1" customFormat="1" x14ac:dyDescent="0.25">
      <c r="A290" s="63"/>
    </row>
    <row r="291" spans="1:1" customFormat="1" x14ac:dyDescent="0.25">
      <c r="A291" s="63"/>
    </row>
    <row r="292" spans="1:1" customFormat="1" x14ac:dyDescent="0.25">
      <c r="A292" s="63"/>
    </row>
    <row r="293" spans="1:1" customFormat="1" x14ac:dyDescent="0.25">
      <c r="A293" s="63"/>
    </row>
    <row r="294" spans="1:1" customFormat="1" x14ac:dyDescent="0.25">
      <c r="A294" s="63"/>
    </row>
    <row r="295" spans="1:1" customFormat="1" x14ac:dyDescent="0.25">
      <c r="A295" s="63"/>
    </row>
    <row r="296" spans="1:1" customFormat="1" x14ac:dyDescent="0.25">
      <c r="A296" s="63"/>
    </row>
    <row r="297" spans="1:1" customFormat="1" x14ac:dyDescent="0.25">
      <c r="A297" s="63"/>
    </row>
    <row r="298" spans="1:1" customFormat="1" x14ac:dyDescent="0.25">
      <c r="A298" s="63"/>
    </row>
    <row r="299" spans="1:1" customFormat="1" x14ac:dyDescent="0.25">
      <c r="A299" s="63"/>
    </row>
    <row r="300" spans="1:1" customFormat="1" x14ac:dyDescent="0.25">
      <c r="A300" s="63"/>
    </row>
    <row r="301" spans="1:1" customFormat="1" x14ac:dyDescent="0.25">
      <c r="A301" s="63"/>
    </row>
    <row r="302" spans="1:1" customFormat="1" x14ac:dyDescent="0.25">
      <c r="A302" s="63"/>
    </row>
    <row r="303" spans="1:1" customFormat="1" x14ac:dyDescent="0.25">
      <c r="A303" s="63"/>
    </row>
    <row r="304" spans="1:1" customFormat="1" x14ac:dyDescent="0.25">
      <c r="A304" s="63"/>
    </row>
    <row r="305" spans="1:2" customFormat="1" x14ac:dyDescent="0.25">
      <c r="A305" s="63"/>
    </row>
    <row r="306" spans="1:2" customFormat="1" x14ac:dyDescent="0.25">
      <c r="A306" s="63"/>
    </row>
    <row r="307" spans="1:2" customFormat="1" x14ac:dyDescent="0.25">
      <c r="A307" s="63"/>
    </row>
    <row r="308" spans="1:2" customFormat="1" x14ac:dyDescent="0.25">
      <c r="A308" s="63"/>
    </row>
    <row r="309" spans="1:2" customFormat="1" x14ac:dyDescent="0.25">
      <c r="A309" s="63"/>
    </row>
    <row r="310" spans="1:2" customFormat="1" x14ac:dyDescent="0.25">
      <c r="A310" s="63"/>
    </row>
    <row r="311" spans="1:2" customFormat="1" x14ac:dyDescent="0.25">
      <c r="A311" s="63"/>
    </row>
    <row r="312" spans="1:2" customFormat="1" x14ac:dyDescent="0.25">
      <c r="A312" s="63"/>
    </row>
    <row r="313" spans="1:2" customFormat="1" x14ac:dyDescent="0.25">
      <c r="A313" s="63"/>
    </row>
    <row r="314" spans="1:2" customFormat="1" x14ac:dyDescent="0.25">
      <c r="A314" s="63"/>
    </row>
    <row r="315" spans="1:2" customFormat="1" x14ac:dyDescent="0.25">
      <c r="A315" s="63"/>
    </row>
    <row r="316" spans="1:2" customFormat="1" x14ac:dyDescent="0.25">
      <c r="A316" s="63"/>
    </row>
    <row r="317" spans="1:2" customFormat="1" x14ac:dyDescent="0.25">
      <c r="A317" s="63"/>
    </row>
    <row r="318" spans="1:2" customFormat="1" x14ac:dyDescent="0.25">
      <c r="A318" s="63"/>
      <c r="B318" t="s">
        <v>268</v>
      </c>
    </row>
    <row r="319" spans="1:2" customFormat="1" x14ac:dyDescent="0.25">
      <c r="A319" s="63"/>
    </row>
    <row r="320" spans="1:2" customFormat="1" x14ac:dyDescent="0.25">
      <c r="A320" s="44" t="s">
        <v>3</v>
      </c>
      <c r="B320" s="65" t="s">
        <v>269</v>
      </c>
    </row>
    <row r="321" spans="1:2" customFormat="1" x14ac:dyDescent="0.25">
      <c r="A321" s="66" t="s">
        <v>270</v>
      </c>
      <c r="B321" s="67" t="s">
        <v>271</v>
      </c>
    </row>
    <row r="322" spans="1:2" customFormat="1" x14ac:dyDescent="0.25">
      <c r="A322" s="66" t="s">
        <v>272</v>
      </c>
      <c r="B322" s="67" t="s">
        <v>23</v>
      </c>
    </row>
    <row r="323" spans="1:2" customFormat="1" x14ac:dyDescent="0.25">
      <c r="A323" s="66" t="s">
        <v>273</v>
      </c>
      <c r="B323" s="67" t="s">
        <v>35</v>
      </c>
    </row>
    <row r="324" spans="1:2" customFormat="1" x14ac:dyDescent="0.25">
      <c r="A324" s="66" t="s">
        <v>274</v>
      </c>
      <c r="B324" s="67" t="s">
        <v>44</v>
      </c>
    </row>
    <row r="325" spans="1:2" customFormat="1" x14ac:dyDescent="0.25">
      <c r="A325" s="66" t="s">
        <v>275</v>
      </c>
      <c r="B325" s="67" t="s">
        <v>39</v>
      </c>
    </row>
    <row r="326" spans="1:2" customFormat="1" x14ac:dyDescent="0.25">
      <c r="A326" s="66" t="s">
        <v>276</v>
      </c>
      <c r="B326" s="67" t="s">
        <v>55</v>
      </c>
    </row>
    <row r="327" spans="1:2" customFormat="1" x14ac:dyDescent="0.25">
      <c r="A327" s="66" t="s">
        <v>277</v>
      </c>
      <c r="B327" s="67" t="s">
        <v>59</v>
      </c>
    </row>
    <row r="328" spans="1:2" customFormat="1" x14ac:dyDescent="0.25">
      <c r="A328" s="66" t="s">
        <v>278</v>
      </c>
      <c r="B328" s="67" t="s">
        <v>56</v>
      </c>
    </row>
    <row r="329" spans="1:2" customFormat="1" x14ac:dyDescent="0.25">
      <c r="A329" s="66" t="s">
        <v>279</v>
      </c>
      <c r="B329" s="67" t="s">
        <v>77</v>
      </c>
    </row>
    <row r="330" spans="1:2" customFormat="1" x14ac:dyDescent="0.25">
      <c r="A330" s="66" t="s">
        <v>280</v>
      </c>
      <c r="B330" s="67" t="s">
        <v>86</v>
      </c>
    </row>
    <row r="331" spans="1:2" customFormat="1" x14ac:dyDescent="0.25">
      <c r="A331" s="66" t="s">
        <v>281</v>
      </c>
      <c r="B331" s="67" t="s">
        <v>75</v>
      </c>
    </row>
    <row r="332" spans="1:2" customFormat="1" x14ac:dyDescent="0.25">
      <c r="A332" s="66" t="s">
        <v>282</v>
      </c>
      <c r="B332" s="67" t="s">
        <v>85</v>
      </c>
    </row>
    <row r="333" spans="1:2" customFormat="1" x14ac:dyDescent="0.25">
      <c r="A333" s="66" t="s">
        <v>283</v>
      </c>
      <c r="B333" s="67" t="s">
        <v>97</v>
      </c>
    </row>
    <row r="334" spans="1:2" customFormat="1" x14ac:dyDescent="0.25">
      <c r="A334" s="66" t="s">
        <v>284</v>
      </c>
      <c r="B334" s="67" t="s">
        <v>285</v>
      </c>
    </row>
    <row r="335" spans="1:2" customFormat="1" x14ac:dyDescent="0.25">
      <c r="A335" s="66" t="s">
        <v>286</v>
      </c>
      <c r="B335" s="67" t="s">
        <v>287</v>
      </c>
    </row>
    <row r="336" spans="1:2" customFormat="1" x14ac:dyDescent="0.25">
      <c r="A336" s="66" t="s">
        <v>288</v>
      </c>
      <c r="B336" s="67" t="s">
        <v>93</v>
      </c>
    </row>
    <row r="337" spans="1:2" customFormat="1" x14ac:dyDescent="0.25">
      <c r="A337" s="66" t="s">
        <v>289</v>
      </c>
      <c r="B337" s="67" t="s">
        <v>102</v>
      </c>
    </row>
    <row r="338" spans="1:2" customFormat="1" x14ac:dyDescent="0.25">
      <c r="A338" s="66" t="s">
        <v>290</v>
      </c>
      <c r="B338" s="67" t="s">
        <v>23</v>
      </c>
    </row>
    <row r="339" spans="1:2" customFormat="1" x14ac:dyDescent="0.25">
      <c r="A339" s="66" t="s">
        <v>291</v>
      </c>
      <c r="B339" s="67" t="s">
        <v>130</v>
      </c>
    </row>
    <row r="340" spans="1:2" customFormat="1" x14ac:dyDescent="0.25">
      <c r="A340" s="66" t="s">
        <v>292</v>
      </c>
      <c r="B340" s="67" t="s">
        <v>136</v>
      </c>
    </row>
    <row r="341" spans="1:2" customFormat="1" x14ac:dyDescent="0.25">
      <c r="A341" s="66" t="s">
        <v>293</v>
      </c>
      <c r="B341" s="67" t="s">
        <v>137</v>
      </c>
    </row>
    <row r="342" spans="1:2" customFormat="1" x14ac:dyDescent="0.25">
      <c r="A342" s="66" t="s">
        <v>294</v>
      </c>
      <c r="B342" s="67" t="s">
        <v>138</v>
      </c>
    </row>
    <row r="343" spans="1:2" customFormat="1" x14ac:dyDescent="0.25">
      <c r="A343" s="66" t="s">
        <v>295</v>
      </c>
      <c r="B343" s="67" t="s">
        <v>22</v>
      </c>
    </row>
    <row r="344" spans="1:2" customFormat="1" x14ac:dyDescent="0.25">
      <c r="A344" s="66" t="s">
        <v>296</v>
      </c>
      <c r="B344" s="67" t="s">
        <v>149</v>
      </c>
    </row>
    <row r="345" spans="1:2" customFormat="1" x14ac:dyDescent="0.25">
      <c r="A345" s="66" t="s">
        <v>297</v>
      </c>
      <c r="B345" s="67" t="s">
        <v>164</v>
      </c>
    </row>
    <row r="346" spans="1:2" customFormat="1" x14ac:dyDescent="0.25">
      <c r="A346" s="66" t="s">
        <v>298</v>
      </c>
      <c r="B346" s="67" t="s">
        <v>183</v>
      </c>
    </row>
    <row r="347" spans="1:2" customFormat="1" x14ac:dyDescent="0.25">
      <c r="A347" s="66" t="s">
        <v>299</v>
      </c>
      <c r="B347" s="67" t="s">
        <v>202</v>
      </c>
    </row>
    <row r="348" spans="1:2" customFormat="1" x14ac:dyDescent="0.25">
      <c r="A348" s="66" t="s">
        <v>300</v>
      </c>
      <c r="B348" s="67" t="s">
        <v>222</v>
      </c>
    </row>
    <row r="349" spans="1:2" customFormat="1" x14ac:dyDescent="0.25">
      <c r="A349" s="66" t="s">
        <v>301</v>
      </c>
      <c r="B349" s="67" t="s">
        <v>246</v>
      </c>
    </row>
    <row r="350" spans="1:2" customFormat="1" x14ac:dyDescent="0.25">
      <c r="A350" s="66" t="s">
        <v>302</v>
      </c>
      <c r="B350" s="67" t="s">
        <v>265</v>
      </c>
    </row>
    <row r="351" spans="1:2" customFormat="1" x14ac:dyDescent="0.25">
      <c r="A351" s="66" t="s">
        <v>303</v>
      </c>
      <c r="B351" s="67" t="s">
        <v>258</v>
      </c>
    </row>
    <row r="354" spans="1:2" customFormat="1" x14ac:dyDescent="0.25">
      <c r="A354" s="68" t="s">
        <v>304</v>
      </c>
      <c r="B354" s="68"/>
    </row>
    <row r="356" spans="1:2" customFormat="1" x14ac:dyDescent="0.25">
      <c r="A356" s="44" t="s">
        <v>3</v>
      </c>
      <c r="B356" s="65" t="s">
        <v>269</v>
      </c>
    </row>
    <row r="357" spans="1:2" customFormat="1" x14ac:dyDescent="0.25">
      <c r="A357" s="66" t="s">
        <v>270</v>
      </c>
      <c r="B357" s="67" t="s">
        <v>40</v>
      </c>
    </row>
    <row r="358" spans="1:2" customFormat="1" x14ac:dyDescent="0.25">
      <c r="A358" s="66" t="s">
        <v>272</v>
      </c>
      <c r="B358" s="67" t="s">
        <v>46</v>
      </c>
    </row>
    <row r="359" spans="1:2" customFormat="1" x14ac:dyDescent="0.25">
      <c r="A359" s="66" t="s">
        <v>273</v>
      </c>
      <c r="B359" s="67" t="s">
        <v>61</v>
      </c>
    </row>
    <row r="360" spans="1:2" customFormat="1" x14ac:dyDescent="0.25">
      <c r="A360" s="66" t="s">
        <v>274</v>
      </c>
      <c r="B360" s="67" t="s">
        <v>62</v>
      </c>
    </row>
    <row r="361" spans="1:2" customFormat="1" x14ac:dyDescent="0.25">
      <c r="A361" s="66" t="s">
        <v>275</v>
      </c>
      <c r="B361" s="67" t="s">
        <v>108</v>
      </c>
    </row>
    <row r="362" spans="1:2" customFormat="1" x14ac:dyDescent="0.25">
      <c r="A362" s="66" t="s">
        <v>276</v>
      </c>
      <c r="B362" s="67" t="s">
        <v>125</v>
      </c>
    </row>
    <row r="363" spans="1:2" customFormat="1" x14ac:dyDescent="0.25">
      <c r="A363" s="66" t="s">
        <v>277</v>
      </c>
      <c r="B363" s="67" t="s">
        <v>151</v>
      </c>
    </row>
    <row r="364" spans="1:2" customFormat="1" x14ac:dyDescent="0.25">
      <c r="A364" s="66" t="s">
        <v>278</v>
      </c>
      <c r="B364" s="67" t="s">
        <v>305</v>
      </c>
    </row>
    <row r="365" spans="1:2" customFormat="1" x14ac:dyDescent="0.25">
      <c r="A365" s="66" t="s">
        <v>279</v>
      </c>
      <c r="B365" s="67" t="s">
        <v>157</v>
      </c>
    </row>
    <row r="366" spans="1:2" customFormat="1" x14ac:dyDescent="0.25">
      <c r="A366" s="66" t="s">
        <v>280</v>
      </c>
      <c r="B366" s="67" t="s">
        <v>187</v>
      </c>
    </row>
    <row r="367" spans="1:2" customFormat="1" x14ac:dyDescent="0.25">
      <c r="A367" s="66" t="s">
        <v>281</v>
      </c>
      <c r="B367" s="67" t="s">
        <v>193</v>
      </c>
    </row>
    <row r="368" spans="1:2" customFormat="1" x14ac:dyDescent="0.25">
      <c r="A368" s="66" t="s">
        <v>282</v>
      </c>
      <c r="B368" s="67" t="s">
        <v>72</v>
      </c>
    </row>
    <row r="369" spans="1:2" customFormat="1" x14ac:dyDescent="0.25">
      <c r="A369" s="66" t="s">
        <v>283</v>
      </c>
      <c r="B369" s="67" t="s">
        <v>197</v>
      </c>
    </row>
    <row r="370" spans="1:2" customFormat="1" x14ac:dyDescent="0.25">
      <c r="A370" s="66" t="s">
        <v>284</v>
      </c>
      <c r="B370" s="67" t="s">
        <v>77</v>
      </c>
    </row>
    <row r="371" spans="1:2" customFormat="1" x14ac:dyDescent="0.25">
      <c r="A371" s="66" t="s">
        <v>286</v>
      </c>
      <c r="B371" s="67" t="s">
        <v>234</v>
      </c>
    </row>
  </sheetData>
  <mergeCells count="16">
    <mergeCell ref="M5:M7"/>
    <mergeCell ref="Q5:Q7"/>
    <mergeCell ref="A258:B258"/>
    <mergeCell ref="A354:B354"/>
    <mergeCell ref="G5:G7"/>
    <mergeCell ref="H5:H7"/>
    <mergeCell ref="I5:I7"/>
    <mergeCell ref="J5:J7"/>
    <mergeCell ref="K5:K7"/>
    <mergeCell ref="L5:L7"/>
    <mergeCell ref="A5:A7"/>
    <mergeCell ref="B5:B7"/>
    <mergeCell ref="C5:C7"/>
    <mergeCell ref="D5:D7"/>
    <mergeCell ref="E5:E7"/>
    <mergeCell ref="F5:F7"/>
  </mergeCells>
  <conditionalFormatting sqref="C1:C1048576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2022-06-20T04:24:38Z</dcterms:created>
  <dcterms:modified xsi:type="dcterms:W3CDTF">2022-06-20T04:26:56Z</dcterms:modified>
</cp:coreProperties>
</file>