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LAP FSK &amp; KEU" sheetId="1" r:id="rId1"/>
    <sheet name="Sheet2" sheetId="2" r:id="rId2"/>
    <sheet name="Sheet3" sheetId="3" r:id="rId3"/>
    <sheet name="Sheet1" sheetId="4" r:id="rId4"/>
    <sheet name="Barang dan Jasa" sheetId="5" r:id="rId5"/>
    <sheet name="Target &amp; Realisasi Peng. Brg" sheetId="6" r:id="rId6"/>
    <sheet name="FISIK DAN KEU" sheetId="7" r:id="rId7"/>
    <sheet name="Sheet8" sheetId="9" r:id="rId8"/>
    <sheet name="Sheet4" sheetId="10" r:id="rId9"/>
    <sheet name="Sheet5" sheetId="11" r:id="rId10"/>
    <sheet name="Sheet6" sheetId="12" r:id="rId11"/>
    <sheet name="Sheet7" sheetId="13" r:id="rId12"/>
    <sheet name="Sheet9" sheetId="14" r:id="rId13"/>
    <sheet name="FIISIK APBD PERUB." sheetId="15" r:id="rId14"/>
    <sheet name="FISIK PERUBAHAN" sheetId="16" r:id="rId15"/>
    <sheet name="Sheet10" sheetId="17" r:id="rId16"/>
    <sheet name="Sheet11" sheetId="18" r:id="rId17"/>
    <sheet name="Sheet12" sheetId="19" r:id="rId18"/>
  </sheets>
  <definedNames>
    <definedName name="_xlnm.Print_Area" localSheetId="0">'LAP FSK &amp; KEU'!$A$1:$M$1526</definedName>
    <definedName name="_xlnm.Print_Area" localSheetId="1">Sheet2!$A$1:$F$54</definedName>
  </definedNames>
  <calcPr calcId="124519"/>
</workbook>
</file>

<file path=xl/calcChain.xml><?xml version="1.0" encoding="utf-8"?>
<calcChain xmlns="http://schemas.openxmlformats.org/spreadsheetml/2006/main">
  <c r="N1410" i="1"/>
  <c r="G1428"/>
  <c r="N1428" s="1"/>
  <c r="S1" i="18"/>
  <c r="R1"/>
  <c r="N63"/>
  <c r="R64"/>
  <c r="P67"/>
  <c r="R65"/>
  <c r="R52"/>
  <c r="R46"/>
  <c r="R42"/>
  <c r="R35"/>
  <c r="R31"/>
  <c r="R28"/>
  <c r="R18"/>
  <c r="R17"/>
  <c r="R24"/>
  <c r="P28"/>
  <c r="Q28"/>
  <c r="Q22"/>
  <c r="Q23"/>
  <c r="Q24"/>
  <c r="Q25"/>
  <c r="Q26"/>
  <c r="Q27"/>
  <c r="Q21"/>
  <c r="Q14"/>
  <c r="S17"/>
  <c r="Q18"/>
  <c r="Q52"/>
  <c r="O17"/>
  <c r="O49"/>
  <c r="O39"/>
  <c r="N39"/>
  <c r="P18"/>
  <c r="Q5"/>
  <c r="Q6"/>
  <c r="Q7"/>
  <c r="Q8"/>
  <c r="Q9"/>
  <c r="Q10"/>
  <c r="Q11"/>
  <c r="Q12"/>
  <c r="Q13"/>
  <c r="Q15"/>
  <c r="Q16"/>
  <c r="Q17"/>
  <c r="Q4"/>
  <c r="O24"/>
  <c r="O28" s="1"/>
  <c r="O18"/>
  <c r="O66" s="1"/>
  <c r="Q59"/>
  <c r="J1516" i="1"/>
  <c r="I1517"/>
  <c r="H1516"/>
  <c r="G1517"/>
  <c r="G1411"/>
  <c r="N1411" s="1"/>
  <c r="G1425" l="1"/>
  <c r="I1425" s="1"/>
  <c r="J1425" s="1"/>
  <c r="L1425" s="1"/>
  <c r="G1465"/>
  <c r="I1463"/>
  <c r="I1460"/>
  <c r="H1463"/>
  <c r="J1463" s="1"/>
  <c r="G1414"/>
  <c r="I1414" s="1"/>
  <c r="G1423"/>
  <c r="G1419"/>
  <c r="H1419" s="1"/>
  <c r="G1421"/>
  <c r="H1421" s="1"/>
  <c r="G1420"/>
  <c r="I1420" s="1"/>
  <c r="J1420" s="1"/>
  <c r="L1420" s="1"/>
  <c r="G1424"/>
  <c r="I1424" s="1"/>
  <c r="J1424" s="1"/>
  <c r="L1424" s="1"/>
  <c r="G1435"/>
  <c r="K1518"/>
  <c r="F1518"/>
  <c r="K1517"/>
  <c r="D1517"/>
  <c r="J1517" s="1"/>
  <c r="G1514"/>
  <c r="D1514"/>
  <c r="K1513"/>
  <c r="K1514" s="1"/>
  <c r="I1513"/>
  <c r="I1514" s="1"/>
  <c r="J1514" s="1"/>
  <c r="L1514" s="1"/>
  <c r="H1513"/>
  <c r="K1511"/>
  <c r="D1511"/>
  <c r="G1508"/>
  <c r="F1508"/>
  <c r="F1511" s="1"/>
  <c r="E1508"/>
  <c r="E1511" s="1"/>
  <c r="D1508"/>
  <c r="K1507"/>
  <c r="K1508" s="1"/>
  <c r="I1507"/>
  <c r="I1508" s="1"/>
  <c r="J1508" s="1"/>
  <c r="H1507"/>
  <c r="G1503"/>
  <c r="D1503"/>
  <c r="K1502"/>
  <c r="K1503" s="1"/>
  <c r="I1502"/>
  <c r="I1503" s="1"/>
  <c r="J1503" s="1"/>
  <c r="L1503" s="1"/>
  <c r="H1502"/>
  <c r="G1500"/>
  <c r="F1500"/>
  <c r="F1503" s="1"/>
  <c r="E1500"/>
  <c r="D1500"/>
  <c r="K1499"/>
  <c r="K1500" s="1"/>
  <c r="I1499"/>
  <c r="J1499" s="1"/>
  <c r="L1499" s="1"/>
  <c r="L1500" s="1"/>
  <c r="H1499"/>
  <c r="K1498"/>
  <c r="I1498"/>
  <c r="H1498"/>
  <c r="G1496"/>
  <c r="F1496"/>
  <c r="E1496"/>
  <c r="D1496"/>
  <c r="K1495"/>
  <c r="K1496" s="1"/>
  <c r="I1495"/>
  <c r="J1495" s="1"/>
  <c r="L1495" s="1"/>
  <c r="L1496" s="1"/>
  <c r="H1495"/>
  <c r="K1494"/>
  <c r="I1494"/>
  <c r="H1494"/>
  <c r="F1491"/>
  <c r="E1491"/>
  <c r="D1491"/>
  <c r="K1490"/>
  <c r="K1491" s="1"/>
  <c r="G1490"/>
  <c r="I1490" s="1"/>
  <c r="G1488"/>
  <c r="D1488"/>
  <c r="K1487"/>
  <c r="K1488" s="1"/>
  <c r="I1487"/>
  <c r="I1488" s="1"/>
  <c r="J1488" s="1"/>
  <c r="H1487"/>
  <c r="G1485"/>
  <c r="F1485"/>
  <c r="F1488" s="1"/>
  <c r="E1485"/>
  <c r="E1488" s="1"/>
  <c r="D1485"/>
  <c r="K1484"/>
  <c r="K1485" s="1"/>
  <c r="I1484"/>
  <c r="I1485" s="1"/>
  <c r="H1484"/>
  <c r="H1485" s="1"/>
  <c r="D1481"/>
  <c r="K1480"/>
  <c r="K1481" s="1"/>
  <c r="G1480"/>
  <c r="I1480" s="1"/>
  <c r="G1478"/>
  <c r="F1478"/>
  <c r="F1481" s="1"/>
  <c r="E1478"/>
  <c r="E1481" s="1"/>
  <c r="D1478"/>
  <c r="K1477"/>
  <c r="K1478" s="1"/>
  <c r="I1477"/>
  <c r="I1478" s="1"/>
  <c r="H1477"/>
  <c r="H1478" s="1"/>
  <c r="G1475"/>
  <c r="I1475" s="1"/>
  <c r="D1475"/>
  <c r="K1474"/>
  <c r="K1475" s="1"/>
  <c r="I1474"/>
  <c r="J1474" s="1"/>
  <c r="L1474" s="1"/>
  <c r="H1474"/>
  <c r="G1472"/>
  <c r="I1472" s="1"/>
  <c r="F1472"/>
  <c r="F1475" s="1"/>
  <c r="E1472"/>
  <c r="E1475" s="1"/>
  <c r="D1472"/>
  <c r="K1471"/>
  <c r="K1472" s="1"/>
  <c r="I1471"/>
  <c r="J1471" s="1"/>
  <c r="L1471" s="1"/>
  <c r="L1472" s="1"/>
  <c r="H1471"/>
  <c r="G1468"/>
  <c r="I1468" s="1"/>
  <c r="F1468"/>
  <c r="E1468"/>
  <c r="D1468"/>
  <c r="K1467"/>
  <c r="K1468" s="1"/>
  <c r="I1467"/>
  <c r="J1467" s="1"/>
  <c r="L1467" s="1"/>
  <c r="L1468" s="1"/>
  <c r="H1467"/>
  <c r="D1465"/>
  <c r="K1464"/>
  <c r="K1465" s="1"/>
  <c r="I1464"/>
  <c r="H1464"/>
  <c r="J1464" s="1"/>
  <c r="L1464" s="1"/>
  <c r="I1461"/>
  <c r="G1461"/>
  <c r="F1461"/>
  <c r="F1465" s="1"/>
  <c r="E1461"/>
  <c r="E1465" s="1"/>
  <c r="D1461"/>
  <c r="K1460"/>
  <c r="K1461" s="1"/>
  <c r="H1460"/>
  <c r="K1458"/>
  <c r="G1458"/>
  <c r="F1458"/>
  <c r="E1458"/>
  <c r="D1458"/>
  <c r="K1455"/>
  <c r="I1455"/>
  <c r="I1458" s="1"/>
  <c r="H1455"/>
  <c r="J1455" s="1"/>
  <c r="L1455" s="1"/>
  <c r="L1458" s="1"/>
  <c r="G1452"/>
  <c r="D1452"/>
  <c r="K1451"/>
  <c r="K1452" s="1"/>
  <c r="I1451"/>
  <c r="I1452" s="1"/>
  <c r="H1451"/>
  <c r="J1451" s="1"/>
  <c r="L1451" s="1"/>
  <c r="L1452" s="1"/>
  <c r="G1449"/>
  <c r="F1449"/>
  <c r="F1452" s="1"/>
  <c r="E1449"/>
  <c r="E1452" s="1"/>
  <c r="D1449"/>
  <c r="K1448"/>
  <c r="K1449" s="1"/>
  <c r="I1448"/>
  <c r="I1449" s="1"/>
  <c r="H1448"/>
  <c r="G1446"/>
  <c r="F1446"/>
  <c r="E1446"/>
  <c r="D1446"/>
  <c r="K1445"/>
  <c r="K1446" s="1"/>
  <c r="I1445"/>
  <c r="J1445" s="1"/>
  <c r="L1445" s="1"/>
  <c r="H1445"/>
  <c r="K1444"/>
  <c r="I1444"/>
  <c r="H1444"/>
  <c r="L1442"/>
  <c r="K1442"/>
  <c r="F1442"/>
  <c r="E1442"/>
  <c r="D1442"/>
  <c r="K1439"/>
  <c r="D1439"/>
  <c r="K1438"/>
  <c r="G1438"/>
  <c r="I1438" s="1"/>
  <c r="J1438" s="1"/>
  <c r="L1438" s="1"/>
  <c r="K1437"/>
  <c r="G1437"/>
  <c r="I1437" s="1"/>
  <c r="J1437" s="1"/>
  <c r="L1437" s="1"/>
  <c r="K1436"/>
  <c r="I1436"/>
  <c r="J1436" s="1"/>
  <c r="L1436" s="1"/>
  <c r="H1436"/>
  <c r="K1435"/>
  <c r="K1434"/>
  <c r="I1434"/>
  <c r="J1434" s="1"/>
  <c r="L1434" s="1"/>
  <c r="H1434"/>
  <c r="K1433"/>
  <c r="I1433"/>
  <c r="J1433" s="1"/>
  <c r="L1433" s="1"/>
  <c r="H1433"/>
  <c r="K1432"/>
  <c r="I1432"/>
  <c r="H1432"/>
  <c r="K1431"/>
  <c r="I1431"/>
  <c r="J1431" s="1"/>
  <c r="L1431" s="1"/>
  <c r="H1431"/>
  <c r="K1429"/>
  <c r="F1429"/>
  <c r="E1429"/>
  <c r="D1429"/>
  <c r="K1428"/>
  <c r="I1428"/>
  <c r="J1428" s="1"/>
  <c r="L1428" s="1"/>
  <c r="K1427"/>
  <c r="I1427"/>
  <c r="J1427" s="1"/>
  <c r="L1427" s="1"/>
  <c r="H1427"/>
  <c r="K1426"/>
  <c r="G1426"/>
  <c r="I1426" s="1"/>
  <c r="J1426" s="1"/>
  <c r="L1426" s="1"/>
  <c r="K1425"/>
  <c r="K1424"/>
  <c r="K1423"/>
  <c r="K1422"/>
  <c r="I1422"/>
  <c r="J1422" s="1"/>
  <c r="L1422" s="1"/>
  <c r="H1422"/>
  <c r="K1421"/>
  <c r="I1421"/>
  <c r="J1421" s="1"/>
  <c r="L1421" s="1"/>
  <c r="K1420"/>
  <c r="H1420"/>
  <c r="K1419"/>
  <c r="I1419"/>
  <c r="J1419" s="1"/>
  <c r="L1419" s="1"/>
  <c r="K1418"/>
  <c r="I1418"/>
  <c r="J1418" s="1"/>
  <c r="L1418" s="1"/>
  <c r="H1418"/>
  <c r="K1417"/>
  <c r="I1417"/>
  <c r="J1417" s="1"/>
  <c r="L1417" s="1"/>
  <c r="H1417"/>
  <c r="K1416"/>
  <c r="I1416"/>
  <c r="J1416" s="1"/>
  <c r="L1416" s="1"/>
  <c r="H1416"/>
  <c r="K1415"/>
  <c r="I1415"/>
  <c r="J1415" s="1"/>
  <c r="L1415" s="1"/>
  <c r="H1415"/>
  <c r="K1414"/>
  <c r="H1414"/>
  <c r="J1414" s="1"/>
  <c r="L1414" s="1"/>
  <c r="K1412"/>
  <c r="K1411"/>
  <c r="I1411"/>
  <c r="J1411" s="1"/>
  <c r="L1411" s="1"/>
  <c r="H1411"/>
  <c r="K1410"/>
  <c r="I1410"/>
  <c r="J1410" s="1"/>
  <c r="L1410" s="1"/>
  <c r="H1410"/>
  <c r="K1409"/>
  <c r="G1409"/>
  <c r="E1409"/>
  <c r="E1518" s="1"/>
  <c r="D1409"/>
  <c r="G1282"/>
  <c r="G1301"/>
  <c r="N1284"/>
  <c r="N53" i="18"/>
  <c r="Q60" s="1"/>
  <c r="D62"/>
  <c r="D28"/>
  <c r="D18"/>
  <c r="N1301" i="1"/>
  <c r="K1285"/>
  <c r="K1284"/>
  <c r="K1283"/>
  <c r="K1282"/>
  <c r="K1391"/>
  <c r="K1386"/>
  <c r="K1387" s="1"/>
  <c r="K1380"/>
  <c r="K1381" s="1"/>
  <c r="K1375"/>
  <c r="K1376" s="1"/>
  <c r="K1372"/>
  <c r="K1373" s="1"/>
  <c r="K1371"/>
  <c r="K1368"/>
  <c r="K1369" s="1"/>
  <c r="K1367"/>
  <c r="K1363"/>
  <c r="K1364" s="1"/>
  <c r="K1360"/>
  <c r="K1357"/>
  <c r="K1353"/>
  <c r="K1347"/>
  <c r="K1348" s="1"/>
  <c r="K1344"/>
  <c r="K1340"/>
  <c r="K1341" s="1"/>
  <c r="K1337"/>
  <c r="K1338" s="1"/>
  <c r="K1333"/>
  <c r="K1334" s="1"/>
  <c r="K1331"/>
  <c r="K1328"/>
  <c r="K1324"/>
  <c r="K1325" s="1"/>
  <c r="K1321"/>
  <c r="K1322" s="1"/>
  <c r="K1318"/>
  <c r="K1319" s="1"/>
  <c r="K1317"/>
  <c r="K1312"/>
  <c r="K1311"/>
  <c r="K1305"/>
  <c r="K1306"/>
  <c r="K1307"/>
  <c r="K1308"/>
  <c r="K1309"/>
  <c r="K1310"/>
  <c r="K1304"/>
  <c r="K1302"/>
  <c r="K1301"/>
  <c r="K1288"/>
  <c r="K1289"/>
  <c r="K1290"/>
  <c r="K1291"/>
  <c r="K1292"/>
  <c r="K1293"/>
  <c r="K1294"/>
  <c r="K1295"/>
  <c r="K1296"/>
  <c r="K1297"/>
  <c r="K1298"/>
  <c r="K1299"/>
  <c r="K1300"/>
  <c r="K1287"/>
  <c r="D1282"/>
  <c r="D1331"/>
  <c r="F1391"/>
  <c r="K1390"/>
  <c r="D1390"/>
  <c r="G1387"/>
  <c r="D1387"/>
  <c r="I1386"/>
  <c r="I1387" s="1"/>
  <c r="H1386"/>
  <c r="K1384"/>
  <c r="D1384"/>
  <c r="G1381"/>
  <c r="F1381"/>
  <c r="F1384" s="1"/>
  <c r="E1381"/>
  <c r="E1384" s="1"/>
  <c r="D1381"/>
  <c r="I1380"/>
  <c r="I1381" s="1"/>
  <c r="H1380"/>
  <c r="G1376"/>
  <c r="D1376"/>
  <c r="I1375"/>
  <c r="J1375" s="1"/>
  <c r="L1375" s="1"/>
  <c r="H1375"/>
  <c r="G1373"/>
  <c r="F1373"/>
  <c r="F1376" s="1"/>
  <c r="E1373"/>
  <c r="D1373"/>
  <c r="I1372"/>
  <c r="J1372" s="1"/>
  <c r="L1372" s="1"/>
  <c r="L1373" s="1"/>
  <c r="H1372"/>
  <c r="I1371"/>
  <c r="J1371" s="1"/>
  <c r="L1371" s="1"/>
  <c r="H1371"/>
  <c r="G1369"/>
  <c r="F1369"/>
  <c r="E1369"/>
  <c r="D1369"/>
  <c r="I1368"/>
  <c r="J1368" s="1"/>
  <c r="L1368" s="1"/>
  <c r="L1369" s="1"/>
  <c r="H1368"/>
  <c r="I1367"/>
  <c r="J1367" s="1"/>
  <c r="L1367" s="1"/>
  <c r="H1367"/>
  <c r="F1364"/>
  <c r="E1364"/>
  <c r="D1364"/>
  <c r="G1363"/>
  <c r="G1364" s="1"/>
  <c r="K1361"/>
  <c r="G1361"/>
  <c r="D1361"/>
  <c r="I1360"/>
  <c r="I1361" s="1"/>
  <c r="H1360"/>
  <c r="K1358"/>
  <c r="G1358"/>
  <c r="F1358"/>
  <c r="F1361" s="1"/>
  <c r="E1358"/>
  <c r="E1361" s="1"/>
  <c r="D1358"/>
  <c r="I1357"/>
  <c r="I1358" s="1"/>
  <c r="H1357"/>
  <c r="H1358" s="1"/>
  <c r="K1354"/>
  <c r="D1354"/>
  <c r="G1353"/>
  <c r="I1353" s="1"/>
  <c r="G1351"/>
  <c r="F1351"/>
  <c r="F1354" s="1"/>
  <c r="E1351"/>
  <c r="E1354" s="1"/>
  <c r="D1351"/>
  <c r="K1350"/>
  <c r="K1351" s="1"/>
  <c r="I1350"/>
  <c r="I1351" s="1"/>
  <c r="H1350"/>
  <c r="H1351" s="1"/>
  <c r="G1348"/>
  <c r="I1348" s="1"/>
  <c r="D1348"/>
  <c r="I1347"/>
  <c r="J1347" s="1"/>
  <c r="L1347" s="1"/>
  <c r="H1347"/>
  <c r="G1345"/>
  <c r="I1345" s="1"/>
  <c r="F1345"/>
  <c r="F1348" s="1"/>
  <c r="E1345"/>
  <c r="E1348" s="1"/>
  <c r="D1345"/>
  <c r="K1345"/>
  <c r="I1344"/>
  <c r="J1344" s="1"/>
  <c r="L1344" s="1"/>
  <c r="L1345" s="1"/>
  <c r="H1344"/>
  <c r="G1341"/>
  <c r="I1341" s="1"/>
  <c r="F1341"/>
  <c r="E1341"/>
  <c r="D1341"/>
  <c r="I1340"/>
  <c r="J1340" s="1"/>
  <c r="L1340" s="1"/>
  <c r="L1341" s="1"/>
  <c r="H1340"/>
  <c r="G1338"/>
  <c r="D1338"/>
  <c r="I1337"/>
  <c r="I1338" s="1"/>
  <c r="H1337"/>
  <c r="J1337" s="1"/>
  <c r="L1337" s="1"/>
  <c r="G1334"/>
  <c r="F1334"/>
  <c r="F1338" s="1"/>
  <c r="E1334"/>
  <c r="E1338" s="1"/>
  <c r="D1334"/>
  <c r="I1333"/>
  <c r="I1334" s="1"/>
  <c r="H1333"/>
  <c r="J1333" s="1"/>
  <c r="L1333" s="1"/>
  <c r="L1334" s="1"/>
  <c r="G1331"/>
  <c r="F1331"/>
  <c r="E1331"/>
  <c r="I1328"/>
  <c r="I1331" s="1"/>
  <c r="H1328"/>
  <c r="J1328" s="1"/>
  <c r="L1328" s="1"/>
  <c r="L1331" s="1"/>
  <c r="G1325"/>
  <c r="D1325"/>
  <c r="I1324"/>
  <c r="I1325" s="1"/>
  <c r="H1324"/>
  <c r="J1324" s="1"/>
  <c r="L1324" s="1"/>
  <c r="L1325" s="1"/>
  <c r="G1322"/>
  <c r="F1322"/>
  <c r="F1325" s="1"/>
  <c r="E1322"/>
  <c r="E1325" s="1"/>
  <c r="D1322"/>
  <c r="I1321"/>
  <c r="I1322" s="1"/>
  <c r="H1321"/>
  <c r="G1319"/>
  <c r="F1319"/>
  <c r="E1319"/>
  <c r="D1319"/>
  <c r="I1318"/>
  <c r="J1318" s="1"/>
  <c r="L1318" s="1"/>
  <c r="H1318"/>
  <c r="I1317"/>
  <c r="J1317" s="1"/>
  <c r="L1317" s="1"/>
  <c r="H1317"/>
  <c r="L1315"/>
  <c r="K1315"/>
  <c r="F1315"/>
  <c r="E1315"/>
  <c r="D1315"/>
  <c r="D1312"/>
  <c r="G1311"/>
  <c r="H1311" s="1"/>
  <c r="G1310"/>
  <c r="H1310" s="1"/>
  <c r="I1309"/>
  <c r="J1309" s="1"/>
  <c r="L1309" s="1"/>
  <c r="H1309"/>
  <c r="G1308"/>
  <c r="I1307"/>
  <c r="J1307" s="1"/>
  <c r="L1307" s="1"/>
  <c r="H1307"/>
  <c r="I1306"/>
  <c r="J1306" s="1"/>
  <c r="L1306" s="1"/>
  <c r="H1306"/>
  <c r="I1305"/>
  <c r="J1305" s="1"/>
  <c r="L1305" s="1"/>
  <c r="H1305"/>
  <c r="I1304"/>
  <c r="H1304"/>
  <c r="F1302"/>
  <c r="E1302"/>
  <c r="D1302"/>
  <c r="H1301"/>
  <c r="I1300"/>
  <c r="J1300" s="1"/>
  <c r="L1300" s="1"/>
  <c r="H1300"/>
  <c r="G1299"/>
  <c r="I1299" s="1"/>
  <c r="J1299" s="1"/>
  <c r="L1299" s="1"/>
  <c r="G1298"/>
  <c r="I1298" s="1"/>
  <c r="J1298" s="1"/>
  <c r="L1298" s="1"/>
  <c r="G1297"/>
  <c r="I1297" s="1"/>
  <c r="J1297" s="1"/>
  <c r="L1297" s="1"/>
  <c r="G1296"/>
  <c r="I1296" s="1"/>
  <c r="J1296" s="1"/>
  <c r="L1296" s="1"/>
  <c r="I1295"/>
  <c r="J1295" s="1"/>
  <c r="L1295" s="1"/>
  <c r="H1295"/>
  <c r="G1294"/>
  <c r="H1294" s="1"/>
  <c r="G1293"/>
  <c r="H1293" s="1"/>
  <c r="G1292"/>
  <c r="H1292" s="1"/>
  <c r="I1291"/>
  <c r="J1291" s="1"/>
  <c r="L1291" s="1"/>
  <c r="H1291"/>
  <c r="I1290"/>
  <c r="J1290" s="1"/>
  <c r="L1290" s="1"/>
  <c r="H1290"/>
  <c r="I1289"/>
  <c r="J1289" s="1"/>
  <c r="L1289" s="1"/>
  <c r="H1289"/>
  <c r="I1288"/>
  <c r="J1288" s="1"/>
  <c r="L1288" s="1"/>
  <c r="H1288"/>
  <c r="G1287"/>
  <c r="I1284"/>
  <c r="J1284" s="1"/>
  <c r="L1284" s="1"/>
  <c r="H1284"/>
  <c r="I1283"/>
  <c r="J1283" s="1"/>
  <c r="L1283" s="1"/>
  <c r="H1283"/>
  <c r="E1282"/>
  <c r="E1391" s="1"/>
  <c r="N28" i="18"/>
  <c r="N18"/>
  <c r="Q56" s="1"/>
  <c r="Q58" s="1"/>
  <c r="N31"/>
  <c r="N57"/>
  <c r="N52"/>
  <c r="F52"/>
  <c r="E52"/>
  <c r="D52"/>
  <c r="K51"/>
  <c r="K52" s="1"/>
  <c r="G51"/>
  <c r="I51" s="1"/>
  <c r="N49"/>
  <c r="G49"/>
  <c r="F49"/>
  <c r="E49"/>
  <c r="D49"/>
  <c r="K48"/>
  <c r="K49" s="1"/>
  <c r="I48"/>
  <c r="I49" s="1"/>
  <c r="H48"/>
  <c r="H49" s="1"/>
  <c r="N45"/>
  <c r="D45"/>
  <c r="K44"/>
  <c r="K45" s="1"/>
  <c r="G44"/>
  <c r="I44" s="1"/>
  <c r="N42"/>
  <c r="G42"/>
  <c r="F42"/>
  <c r="F45" s="1"/>
  <c r="E42"/>
  <c r="E45" s="1"/>
  <c r="D42"/>
  <c r="K41"/>
  <c r="K42" s="1"/>
  <c r="I41"/>
  <c r="I42" s="1"/>
  <c r="H41"/>
  <c r="H42" s="1"/>
  <c r="G39"/>
  <c r="D39"/>
  <c r="K38"/>
  <c r="K39" s="1"/>
  <c r="I38"/>
  <c r="I39" s="1"/>
  <c r="H38"/>
  <c r="J38" s="1"/>
  <c r="L38" s="1"/>
  <c r="F39"/>
  <c r="E39"/>
  <c r="N35"/>
  <c r="K35"/>
  <c r="G35"/>
  <c r="F35"/>
  <c r="E35"/>
  <c r="D35"/>
  <c r="K34"/>
  <c r="I34"/>
  <c r="I35" s="1"/>
  <c r="H34"/>
  <c r="J34" s="1"/>
  <c r="L34" s="1"/>
  <c r="L35" s="1"/>
  <c r="L31"/>
  <c r="K31"/>
  <c r="F31"/>
  <c r="E31"/>
  <c r="D31"/>
  <c r="K28"/>
  <c r="K27"/>
  <c r="G27"/>
  <c r="K26"/>
  <c r="G26"/>
  <c r="K25"/>
  <c r="I25"/>
  <c r="J25" s="1"/>
  <c r="L25" s="1"/>
  <c r="H25"/>
  <c r="K24"/>
  <c r="G24"/>
  <c r="K23"/>
  <c r="I23"/>
  <c r="J23" s="1"/>
  <c r="L23" s="1"/>
  <c r="H23"/>
  <c r="K22"/>
  <c r="I22"/>
  <c r="J22" s="1"/>
  <c r="L22" s="1"/>
  <c r="H22"/>
  <c r="K21"/>
  <c r="I21"/>
  <c r="J21" s="1"/>
  <c r="L21" s="1"/>
  <c r="H21"/>
  <c r="K20"/>
  <c r="I20"/>
  <c r="J20" s="1"/>
  <c r="L20" s="1"/>
  <c r="H20"/>
  <c r="K18"/>
  <c r="F18"/>
  <c r="E18"/>
  <c r="N17"/>
  <c r="K17"/>
  <c r="I17"/>
  <c r="J17" s="1"/>
  <c r="L17" s="1"/>
  <c r="H17"/>
  <c r="K16"/>
  <c r="G16"/>
  <c r="K15"/>
  <c r="G15"/>
  <c r="K14"/>
  <c r="G14"/>
  <c r="K13"/>
  <c r="G13"/>
  <c r="K12"/>
  <c r="I12"/>
  <c r="J12" s="1"/>
  <c r="L12" s="1"/>
  <c r="H12"/>
  <c r="K11"/>
  <c r="G11"/>
  <c r="K10"/>
  <c r="G10"/>
  <c r="K9"/>
  <c r="G9"/>
  <c r="K8"/>
  <c r="I8"/>
  <c r="J8" s="1"/>
  <c r="L8" s="1"/>
  <c r="H8"/>
  <c r="K7"/>
  <c r="I7"/>
  <c r="J7" s="1"/>
  <c r="L7" s="1"/>
  <c r="H7"/>
  <c r="K6"/>
  <c r="I6"/>
  <c r="J6" s="1"/>
  <c r="L6" s="1"/>
  <c r="H6"/>
  <c r="K5"/>
  <c r="I5"/>
  <c r="J5" s="1"/>
  <c r="L5" s="1"/>
  <c r="H5"/>
  <c r="K4"/>
  <c r="G4"/>
  <c r="O123" i="17"/>
  <c r="N123"/>
  <c r="K119"/>
  <c r="F119"/>
  <c r="N118"/>
  <c r="K118"/>
  <c r="D118"/>
  <c r="K115"/>
  <c r="G115"/>
  <c r="D115"/>
  <c r="K114"/>
  <c r="J114"/>
  <c r="L114" s="1"/>
  <c r="I114"/>
  <c r="I115" s="1"/>
  <c r="J115" s="1"/>
  <c r="L115" s="1"/>
  <c r="H114"/>
  <c r="K112"/>
  <c r="F112"/>
  <c r="D112"/>
  <c r="K109"/>
  <c r="G109"/>
  <c r="H109" s="1"/>
  <c r="F109"/>
  <c r="E109"/>
  <c r="E112" s="1"/>
  <c r="D109"/>
  <c r="K108"/>
  <c r="I108"/>
  <c r="I109" s="1"/>
  <c r="J109" s="1"/>
  <c r="H108"/>
  <c r="K104"/>
  <c r="G104"/>
  <c r="D104"/>
  <c r="K103"/>
  <c r="I103"/>
  <c r="J103" s="1"/>
  <c r="L103" s="1"/>
  <c r="H103"/>
  <c r="G101"/>
  <c r="F101"/>
  <c r="F104" s="1"/>
  <c r="E101"/>
  <c r="D101"/>
  <c r="K100"/>
  <c r="K101" s="1"/>
  <c r="I100"/>
  <c r="J100" s="1"/>
  <c r="L100" s="1"/>
  <c r="L101" s="1"/>
  <c r="H100"/>
  <c r="K99"/>
  <c r="J99"/>
  <c r="L99" s="1"/>
  <c r="I99"/>
  <c r="I101" s="1"/>
  <c r="J101" s="1"/>
  <c r="H99"/>
  <c r="G97"/>
  <c r="H97" s="1"/>
  <c r="F97"/>
  <c r="E97"/>
  <c r="D97"/>
  <c r="K96"/>
  <c r="K97" s="1"/>
  <c r="I96"/>
  <c r="J96" s="1"/>
  <c r="L96" s="1"/>
  <c r="L97" s="1"/>
  <c r="H96"/>
  <c r="K95"/>
  <c r="I95"/>
  <c r="J95" s="1"/>
  <c r="L95" s="1"/>
  <c r="H95"/>
  <c r="N92"/>
  <c r="K92"/>
  <c r="F92"/>
  <c r="E92"/>
  <c r="D92"/>
  <c r="K91"/>
  <c r="H91"/>
  <c r="G91"/>
  <c r="I91" s="1"/>
  <c r="G89"/>
  <c r="D89"/>
  <c r="H89" s="1"/>
  <c r="K88"/>
  <c r="K89" s="1"/>
  <c r="I88"/>
  <c r="I89" s="1"/>
  <c r="J89" s="1"/>
  <c r="H88"/>
  <c r="N86"/>
  <c r="I86"/>
  <c r="G86"/>
  <c r="F86"/>
  <c r="F89" s="1"/>
  <c r="E86"/>
  <c r="E89" s="1"/>
  <c r="D86"/>
  <c r="K85"/>
  <c r="K86" s="1"/>
  <c r="J85"/>
  <c r="J86" s="1"/>
  <c r="L86" s="1"/>
  <c r="I85"/>
  <c r="H85"/>
  <c r="H86" s="1"/>
  <c r="N82"/>
  <c r="D82"/>
  <c r="K81"/>
  <c r="K82" s="1"/>
  <c r="G81"/>
  <c r="G82" s="1"/>
  <c r="H82" s="1"/>
  <c r="N79"/>
  <c r="H79"/>
  <c r="G79"/>
  <c r="F79"/>
  <c r="F82" s="1"/>
  <c r="E79"/>
  <c r="E82" s="1"/>
  <c r="D79"/>
  <c r="K78"/>
  <c r="K79" s="1"/>
  <c r="I78"/>
  <c r="I79" s="1"/>
  <c r="H78"/>
  <c r="G76"/>
  <c r="I76" s="1"/>
  <c r="J76" s="1"/>
  <c r="L76" s="1"/>
  <c r="D76"/>
  <c r="K75"/>
  <c r="K76" s="1"/>
  <c r="I75"/>
  <c r="J75" s="1"/>
  <c r="L75" s="1"/>
  <c r="H75"/>
  <c r="G73"/>
  <c r="I73" s="1"/>
  <c r="F73"/>
  <c r="F76" s="1"/>
  <c r="E73"/>
  <c r="E76" s="1"/>
  <c r="D73"/>
  <c r="H73" s="1"/>
  <c r="K72"/>
  <c r="K73" s="1"/>
  <c r="I72"/>
  <c r="J72" s="1"/>
  <c r="L72" s="1"/>
  <c r="L73" s="1"/>
  <c r="H72"/>
  <c r="G69"/>
  <c r="I69" s="1"/>
  <c r="J69" s="1"/>
  <c r="F69"/>
  <c r="E69"/>
  <c r="D69"/>
  <c r="K68"/>
  <c r="K69" s="1"/>
  <c r="I68"/>
  <c r="J68" s="1"/>
  <c r="L68" s="1"/>
  <c r="L69" s="1"/>
  <c r="H68"/>
  <c r="N66"/>
  <c r="G66"/>
  <c r="H66" s="1"/>
  <c r="J66" s="1"/>
  <c r="D66"/>
  <c r="K65"/>
  <c r="K66" s="1"/>
  <c r="I65"/>
  <c r="I66" s="1"/>
  <c r="H65"/>
  <c r="J65" s="1"/>
  <c r="L65" s="1"/>
  <c r="G62"/>
  <c r="F62"/>
  <c r="F66" s="1"/>
  <c r="E62"/>
  <c r="E66" s="1"/>
  <c r="D62"/>
  <c r="K61"/>
  <c r="K62" s="1"/>
  <c r="I61"/>
  <c r="I62" s="1"/>
  <c r="H61"/>
  <c r="J61" s="1"/>
  <c r="L61" s="1"/>
  <c r="L62" s="1"/>
  <c r="N59"/>
  <c r="K59"/>
  <c r="G59"/>
  <c r="F59"/>
  <c r="E59"/>
  <c r="D59"/>
  <c r="K56"/>
  <c r="I56"/>
  <c r="I59" s="1"/>
  <c r="H56"/>
  <c r="J56" s="1"/>
  <c r="L56" s="1"/>
  <c r="L59" s="1"/>
  <c r="G53"/>
  <c r="D53"/>
  <c r="H53" s="1"/>
  <c r="J53" s="1"/>
  <c r="K52"/>
  <c r="K53" s="1"/>
  <c r="I52"/>
  <c r="I53" s="1"/>
  <c r="H52"/>
  <c r="J52" s="1"/>
  <c r="L52" s="1"/>
  <c r="L53" s="1"/>
  <c r="G50"/>
  <c r="F50"/>
  <c r="F53" s="1"/>
  <c r="E50"/>
  <c r="E53" s="1"/>
  <c r="D50"/>
  <c r="P49"/>
  <c r="P50" s="1"/>
  <c r="K49"/>
  <c r="K50" s="1"/>
  <c r="I49"/>
  <c r="J49" s="1"/>
  <c r="L49" s="1"/>
  <c r="H49"/>
  <c r="G47"/>
  <c r="F47"/>
  <c r="E47"/>
  <c r="D47"/>
  <c r="H47" s="1"/>
  <c r="K46"/>
  <c r="K47" s="1"/>
  <c r="I46"/>
  <c r="J46" s="1"/>
  <c r="L46" s="1"/>
  <c r="H46"/>
  <c r="K45"/>
  <c r="I45"/>
  <c r="I47" s="1"/>
  <c r="J47" s="1"/>
  <c r="L47" s="1"/>
  <c r="H45"/>
  <c r="N43"/>
  <c r="L43"/>
  <c r="K43"/>
  <c r="F43"/>
  <c r="E43"/>
  <c r="D43"/>
  <c r="N40"/>
  <c r="K40"/>
  <c r="D40"/>
  <c r="K39"/>
  <c r="G39"/>
  <c r="H39" s="1"/>
  <c r="K38"/>
  <c r="H38"/>
  <c r="G38"/>
  <c r="P38" s="1"/>
  <c r="P37"/>
  <c r="K37"/>
  <c r="I37"/>
  <c r="J37" s="1"/>
  <c r="L37" s="1"/>
  <c r="H37"/>
  <c r="K36"/>
  <c r="G36"/>
  <c r="H36" s="1"/>
  <c r="P35"/>
  <c r="K35"/>
  <c r="J35"/>
  <c r="L35" s="1"/>
  <c r="I35"/>
  <c r="H35"/>
  <c r="P34"/>
  <c r="K34"/>
  <c r="I34"/>
  <c r="J34" s="1"/>
  <c r="L34" s="1"/>
  <c r="H34"/>
  <c r="P33"/>
  <c r="K33"/>
  <c r="I33"/>
  <c r="J33" s="1"/>
  <c r="L33" s="1"/>
  <c r="H33"/>
  <c r="P32"/>
  <c r="K32"/>
  <c r="I32"/>
  <c r="J32" s="1"/>
  <c r="L32" s="1"/>
  <c r="H32"/>
  <c r="K30"/>
  <c r="F30"/>
  <c r="E30"/>
  <c r="D30"/>
  <c r="N29"/>
  <c r="N120" s="1"/>
  <c r="K29"/>
  <c r="G29"/>
  <c r="P29" s="1"/>
  <c r="P28"/>
  <c r="N28"/>
  <c r="N31" s="1"/>
  <c r="K28"/>
  <c r="I28"/>
  <c r="J28" s="1"/>
  <c r="L28" s="1"/>
  <c r="H28"/>
  <c r="K27"/>
  <c r="G27"/>
  <c r="H27" s="1"/>
  <c r="K26"/>
  <c r="G26"/>
  <c r="P26" s="1"/>
  <c r="K25"/>
  <c r="G25"/>
  <c r="H25" s="1"/>
  <c r="K24"/>
  <c r="H24"/>
  <c r="G24"/>
  <c r="P24" s="1"/>
  <c r="P23"/>
  <c r="K23"/>
  <c r="I23"/>
  <c r="J23" s="1"/>
  <c r="L23" s="1"/>
  <c r="H23"/>
  <c r="K22"/>
  <c r="G22"/>
  <c r="H22" s="1"/>
  <c r="K21"/>
  <c r="G21"/>
  <c r="P21" s="1"/>
  <c r="K20"/>
  <c r="G20"/>
  <c r="I20" s="1"/>
  <c r="J20" s="1"/>
  <c r="L20" s="1"/>
  <c r="P19"/>
  <c r="K19"/>
  <c r="I19"/>
  <c r="J19" s="1"/>
  <c r="L19" s="1"/>
  <c r="H19"/>
  <c r="P18"/>
  <c r="K18"/>
  <c r="I18"/>
  <c r="J18" s="1"/>
  <c r="L18" s="1"/>
  <c r="H18"/>
  <c r="P17"/>
  <c r="O17"/>
  <c r="K17"/>
  <c r="I17"/>
  <c r="J17" s="1"/>
  <c r="L17" s="1"/>
  <c r="H17"/>
  <c r="P16"/>
  <c r="K16"/>
  <c r="I16"/>
  <c r="J16" s="1"/>
  <c r="L16" s="1"/>
  <c r="H16"/>
  <c r="K15"/>
  <c r="G15"/>
  <c r="G30" s="1"/>
  <c r="K13"/>
  <c r="K12"/>
  <c r="I12"/>
  <c r="J12" s="1"/>
  <c r="L12" s="1"/>
  <c r="H12"/>
  <c r="K11"/>
  <c r="I11"/>
  <c r="J11" s="1"/>
  <c r="L11" s="1"/>
  <c r="H11"/>
  <c r="K10"/>
  <c r="H10"/>
  <c r="G10"/>
  <c r="I10" s="1"/>
  <c r="E10"/>
  <c r="E119" s="1"/>
  <c r="D10"/>
  <c r="N1188" i="1"/>
  <c r="O1268"/>
  <c r="N1263"/>
  <c r="N1237"/>
  <c r="N1231"/>
  <c r="N1227"/>
  <c r="N1224"/>
  <c r="N1211"/>
  <c r="N1204"/>
  <c r="N1185"/>
  <c r="N1174"/>
  <c r="R1175" s="1"/>
  <c r="N1173"/>
  <c r="N1268"/>
  <c r="K1264"/>
  <c r="G1174"/>
  <c r="I1174" s="1"/>
  <c r="J1174" s="1"/>
  <c r="L1174" s="1"/>
  <c r="K1204"/>
  <c r="K1201"/>
  <c r="K1260"/>
  <c r="K1259"/>
  <c r="K1254"/>
  <c r="K1253"/>
  <c r="K1249"/>
  <c r="K1248"/>
  <c r="K1244"/>
  <c r="K1158"/>
  <c r="K1157"/>
  <c r="K1156"/>
  <c r="K1155"/>
  <c r="H1157"/>
  <c r="H1156"/>
  <c r="S21" i="16"/>
  <c r="S20"/>
  <c r="K119"/>
  <c r="K115"/>
  <c r="K114"/>
  <c r="K109"/>
  <c r="K108"/>
  <c r="K104"/>
  <c r="K103"/>
  <c r="K101"/>
  <c r="K100"/>
  <c r="K99"/>
  <c r="K97"/>
  <c r="K96"/>
  <c r="K95"/>
  <c r="K92"/>
  <c r="K91"/>
  <c r="K89"/>
  <c r="K88"/>
  <c r="K86"/>
  <c r="K85"/>
  <c r="K82"/>
  <c r="K81"/>
  <c r="K79"/>
  <c r="K78"/>
  <c r="K76"/>
  <c r="K75"/>
  <c r="K73"/>
  <c r="K72"/>
  <c r="K69"/>
  <c r="K68"/>
  <c r="K66"/>
  <c r="K65"/>
  <c r="K62"/>
  <c r="K61"/>
  <c r="K59"/>
  <c r="K56"/>
  <c r="K53"/>
  <c r="K52"/>
  <c r="K50"/>
  <c r="K49"/>
  <c r="K47"/>
  <c r="K46"/>
  <c r="K45"/>
  <c r="I45"/>
  <c r="M38"/>
  <c r="L39"/>
  <c r="I40"/>
  <c r="K40"/>
  <c r="K39"/>
  <c r="K38"/>
  <c r="K33"/>
  <c r="K34"/>
  <c r="K35"/>
  <c r="K36"/>
  <c r="K37"/>
  <c r="K32"/>
  <c r="K27"/>
  <c r="J32"/>
  <c r="I36"/>
  <c r="I34"/>
  <c r="I33"/>
  <c r="I32"/>
  <c r="I30"/>
  <c r="I13"/>
  <c r="I12"/>
  <c r="I11"/>
  <c r="I10"/>
  <c r="K13"/>
  <c r="K30"/>
  <c r="E30"/>
  <c r="J30"/>
  <c r="H30"/>
  <c r="K29"/>
  <c r="K16"/>
  <c r="K17"/>
  <c r="K18"/>
  <c r="K19"/>
  <c r="K20"/>
  <c r="K21"/>
  <c r="K22"/>
  <c r="K23"/>
  <c r="K24"/>
  <c r="K25"/>
  <c r="K26"/>
  <c r="K28"/>
  <c r="K15"/>
  <c r="L15"/>
  <c r="H15"/>
  <c r="J15"/>
  <c r="K184"/>
  <c r="K255"/>
  <c r="K258"/>
  <c r="K263"/>
  <c r="K268"/>
  <c r="M268"/>
  <c r="M263"/>
  <c r="M258"/>
  <c r="M262"/>
  <c r="M255"/>
  <c r="M257"/>
  <c r="M253"/>
  <c r="L269"/>
  <c r="L268"/>
  <c r="L263"/>
  <c r="L262"/>
  <c r="L258"/>
  <c r="L257"/>
  <c r="L254"/>
  <c r="L253"/>
  <c r="L250"/>
  <c r="L249"/>
  <c r="L245"/>
  <c r="L242"/>
  <c r="L239"/>
  <c r="L235"/>
  <c r="L232"/>
  <c r="L229"/>
  <c r="L226"/>
  <c r="L222"/>
  <c r="L219"/>
  <c r="L215"/>
  <c r="L213"/>
  <c r="L206"/>
  <c r="L203"/>
  <c r="L200"/>
  <c r="L199"/>
  <c r="L194"/>
  <c r="L193"/>
  <c r="L187"/>
  <c r="L188"/>
  <c r="L189"/>
  <c r="L190"/>
  <c r="L191"/>
  <c r="L192"/>
  <c r="L186"/>
  <c r="L184"/>
  <c r="L183"/>
  <c r="L170"/>
  <c r="L171"/>
  <c r="L172"/>
  <c r="L173"/>
  <c r="L174"/>
  <c r="L175"/>
  <c r="L176"/>
  <c r="L177"/>
  <c r="L178"/>
  <c r="L179"/>
  <c r="L180"/>
  <c r="L181"/>
  <c r="L182"/>
  <c r="L169"/>
  <c r="L167"/>
  <c r="L166"/>
  <c r="L165"/>
  <c r="L164"/>
  <c r="L273"/>
  <c r="G273"/>
  <c r="L272"/>
  <c r="E272"/>
  <c r="D272"/>
  <c r="H269"/>
  <c r="I269" s="1"/>
  <c r="E269"/>
  <c r="D269"/>
  <c r="J268"/>
  <c r="J269" s="1"/>
  <c r="K269" s="1"/>
  <c r="I268"/>
  <c r="L266"/>
  <c r="F266"/>
  <c r="D266"/>
  <c r="H263"/>
  <c r="G263"/>
  <c r="G266" s="1"/>
  <c r="F263"/>
  <c r="E263"/>
  <c r="I263" s="1"/>
  <c r="D263"/>
  <c r="K262"/>
  <c r="J262"/>
  <c r="J263" s="1"/>
  <c r="I262"/>
  <c r="I258"/>
  <c r="H258"/>
  <c r="E258"/>
  <c r="D258"/>
  <c r="J257"/>
  <c r="J258" s="1"/>
  <c r="I257"/>
  <c r="H255"/>
  <c r="G255"/>
  <c r="G258" s="1"/>
  <c r="F255"/>
  <c r="E255"/>
  <c r="I255" s="1"/>
  <c r="D255"/>
  <c r="L255"/>
  <c r="K254"/>
  <c r="M254" s="1"/>
  <c r="J254"/>
  <c r="I254"/>
  <c r="J253"/>
  <c r="J255" s="1"/>
  <c r="I253"/>
  <c r="H251"/>
  <c r="G251"/>
  <c r="F251"/>
  <c r="E251"/>
  <c r="I251" s="1"/>
  <c r="D251"/>
  <c r="L251"/>
  <c r="K250"/>
  <c r="M250" s="1"/>
  <c r="M251" s="1"/>
  <c r="J250"/>
  <c r="I250"/>
  <c r="J249"/>
  <c r="J251" s="1"/>
  <c r="K251" s="1"/>
  <c r="I249"/>
  <c r="G246"/>
  <c r="F246"/>
  <c r="E246"/>
  <c r="D246"/>
  <c r="L246"/>
  <c r="I245"/>
  <c r="H245"/>
  <c r="H246" s="1"/>
  <c r="I246" s="1"/>
  <c r="H243"/>
  <c r="G243"/>
  <c r="E243"/>
  <c r="I243" s="1"/>
  <c r="D243"/>
  <c r="L243"/>
  <c r="K242"/>
  <c r="M242" s="1"/>
  <c r="M243" s="1"/>
  <c r="J242"/>
  <c r="J243" s="1"/>
  <c r="K243" s="1"/>
  <c r="I242"/>
  <c r="H240"/>
  <c r="I240" s="1"/>
  <c r="G240"/>
  <c r="F240"/>
  <c r="F243" s="1"/>
  <c r="E240"/>
  <c r="D240"/>
  <c r="L240"/>
  <c r="J239"/>
  <c r="J240" s="1"/>
  <c r="I239"/>
  <c r="E236"/>
  <c r="D236"/>
  <c r="L236"/>
  <c r="I235"/>
  <c r="H235"/>
  <c r="H236" s="1"/>
  <c r="I236" s="1"/>
  <c r="H233"/>
  <c r="G233"/>
  <c r="G236" s="1"/>
  <c r="F233"/>
  <c r="F236" s="1"/>
  <c r="E233"/>
  <c r="I233" s="1"/>
  <c r="D233"/>
  <c r="L233"/>
  <c r="K232"/>
  <c r="K233" s="1"/>
  <c r="J232"/>
  <c r="J233" s="1"/>
  <c r="I232"/>
  <c r="H230"/>
  <c r="J230" s="1"/>
  <c r="K230" s="1"/>
  <c r="M230" s="1"/>
  <c r="F230"/>
  <c r="E230"/>
  <c r="D230"/>
  <c r="L230"/>
  <c r="J229"/>
  <c r="K229" s="1"/>
  <c r="M229" s="1"/>
  <c r="I229"/>
  <c r="I227"/>
  <c r="H227"/>
  <c r="J227" s="1"/>
  <c r="K227" s="1"/>
  <c r="G227"/>
  <c r="G230" s="1"/>
  <c r="F227"/>
  <c r="E227"/>
  <c r="D227"/>
  <c r="L227"/>
  <c r="K226"/>
  <c r="M226" s="1"/>
  <c r="M227" s="1"/>
  <c r="J226"/>
  <c r="I226"/>
  <c r="H223"/>
  <c r="J223" s="1"/>
  <c r="K223" s="1"/>
  <c r="G223"/>
  <c r="F223"/>
  <c r="E223"/>
  <c r="D223"/>
  <c r="L223"/>
  <c r="J222"/>
  <c r="K222" s="1"/>
  <c r="M222" s="1"/>
  <c r="M223" s="1"/>
  <c r="I222"/>
  <c r="H220"/>
  <c r="G220"/>
  <c r="E220"/>
  <c r="I220" s="1"/>
  <c r="K220" s="1"/>
  <c r="D220"/>
  <c r="L220"/>
  <c r="J219"/>
  <c r="J220" s="1"/>
  <c r="I219"/>
  <c r="K219" s="1"/>
  <c r="M219" s="1"/>
  <c r="H216"/>
  <c r="I216" s="1"/>
  <c r="K216" s="1"/>
  <c r="G216"/>
  <c r="F216"/>
  <c r="F220" s="1"/>
  <c r="E216"/>
  <c r="D216"/>
  <c r="L216"/>
  <c r="J215"/>
  <c r="J216" s="1"/>
  <c r="I215"/>
  <c r="K215" s="1"/>
  <c r="M215" s="1"/>
  <c r="M216" s="1"/>
  <c r="M220" s="1"/>
  <c r="M213"/>
  <c r="H213"/>
  <c r="G213"/>
  <c r="F213"/>
  <c r="E213"/>
  <c r="I213" s="1"/>
  <c r="K213" s="1"/>
  <c r="D213"/>
  <c r="J210"/>
  <c r="J213" s="1"/>
  <c r="I210"/>
  <c r="K210" s="1"/>
  <c r="H207"/>
  <c r="I207" s="1"/>
  <c r="K207" s="1"/>
  <c r="F207"/>
  <c r="E207"/>
  <c r="D207"/>
  <c r="L207"/>
  <c r="J206"/>
  <c r="J207" s="1"/>
  <c r="I206"/>
  <c r="K206" s="1"/>
  <c r="M206" s="1"/>
  <c r="M207" s="1"/>
  <c r="H204"/>
  <c r="G204"/>
  <c r="G207" s="1"/>
  <c r="F204"/>
  <c r="E204"/>
  <c r="I204" s="1"/>
  <c r="D204"/>
  <c r="L204"/>
  <c r="K203"/>
  <c r="M203" s="1"/>
  <c r="J203"/>
  <c r="J204" s="1"/>
  <c r="K204" s="1"/>
  <c r="M204" s="1"/>
  <c r="I203"/>
  <c r="H201"/>
  <c r="I201" s="1"/>
  <c r="G201"/>
  <c r="F201"/>
  <c r="E201"/>
  <c r="D201"/>
  <c r="L201"/>
  <c r="J200"/>
  <c r="J201" s="1"/>
  <c r="K201" s="1"/>
  <c r="M201" s="1"/>
  <c r="I200"/>
  <c r="K199"/>
  <c r="M199" s="1"/>
  <c r="J199"/>
  <c r="I199"/>
  <c r="M197"/>
  <c r="L197"/>
  <c r="G197"/>
  <c r="F197"/>
  <c r="E197"/>
  <c r="D197"/>
  <c r="E194"/>
  <c r="D194"/>
  <c r="H193"/>
  <c r="J193" s="1"/>
  <c r="K193" s="1"/>
  <c r="M193" s="1"/>
  <c r="H192"/>
  <c r="H194" s="1"/>
  <c r="I194" s="1"/>
  <c r="J191"/>
  <c r="K191" s="1"/>
  <c r="M191" s="1"/>
  <c r="I191"/>
  <c r="I190"/>
  <c r="H190"/>
  <c r="J190" s="1"/>
  <c r="K190" s="1"/>
  <c r="M190" s="1"/>
  <c r="K189"/>
  <c r="M189" s="1"/>
  <c r="J189"/>
  <c r="I189"/>
  <c r="J188"/>
  <c r="K188" s="1"/>
  <c r="M188" s="1"/>
  <c r="I188"/>
  <c r="K187"/>
  <c r="M187" s="1"/>
  <c r="J187"/>
  <c r="I187"/>
  <c r="J186"/>
  <c r="I186"/>
  <c r="G184"/>
  <c r="F184"/>
  <c r="E184"/>
  <c r="E167" s="1"/>
  <c r="E273" s="1"/>
  <c r="D184"/>
  <c r="K183"/>
  <c r="M183" s="1"/>
  <c r="J183"/>
  <c r="I183"/>
  <c r="J182"/>
  <c r="K182" s="1"/>
  <c r="M182" s="1"/>
  <c r="I182"/>
  <c r="I181"/>
  <c r="H181"/>
  <c r="J181" s="1"/>
  <c r="K181" s="1"/>
  <c r="M181" s="1"/>
  <c r="I180"/>
  <c r="H180"/>
  <c r="J180" s="1"/>
  <c r="K180" s="1"/>
  <c r="M180" s="1"/>
  <c r="I179"/>
  <c r="H179"/>
  <c r="J179" s="1"/>
  <c r="K179" s="1"/>
  <c r="M179" s="1"/>
  <c r="I178"/>
  <c r="H178"/>
  <c r="J178" s="1"/>
  <c r="K178" s="1"/>
  <c r="M178" s="1"/>
  <c r="K177"/>
  <c r="M177" s="1"/>
  <c r="J177"/>
  <c r="I177"/>
  <c r="H176"/>
  <c r="J176" s="1"/>
  <c r="K176" s="1"/>
  <c r="M176" s="1"/>
  <c r="H175"/>
  <c r="J175" s="1"/>
  <c r="K175" s="1"/>
  <c r="M175" s="1"/>
  <c r="H174"/>
  <c r="J174" s="1"/>
  <c r="K174" s="1"/>
  <c r="M174" s="1"/>
  <c r="J173"/>
  <c r="K173" s="1"/>
  <c r="M173" s="1"/>
  <c r="I173"/>
  <c r="K172"/>
  <c r="M172" s="1"/>
  <c r="J172"/>
  <c r="I172"/>
  <c r="J171"/>
  <c r="K171" s="1"/>
  <c r="M171" s="1"/>
  <c r="I171"/>
  <c r="K170"/>
  <c r="M170" s="1"/>
  <c r="J170"/>
  <c r="I170"/>
  <c r="H169"/>
  <c r="J169" s="1"/>
  <c r="J184" s="1"/>
  <c r="M184" s="1"/>
  <c r="D167"/>
  <c r="D273" s="1"/>
  <c r="J166"/>
  <c r="K166" s="1"/>
  <c r="M166" s="1"/>
  <c r="I166"/>
  <c r="K165"/>
  <c r="M165" s="1"/>
  <c r="J165"/>
  <c r="I165"/>
  <c r="H164"/>
  <c r="F164"/>
  <c r="F273" s="1"/>
  <c r="E164"/>
  <c r="D164"/>
  <c r="L13"/>
  <c r="L12"/>
  <c r="L11"/>
  <c r="L10"/>
  <c r="L75"/>
  <c r="L119"/>
  <c r="L100"/>
  <c r="L99"/>
  <c r="L96"/>
  <c r="L95"/>
  <c r="L91"/>
  <c r="L88"/>
  <c r="L85"/>
  <c r="L81"/>
  <c r="L78"/>
  <c r="L72"/>
  <c r="L68"/>
  <c r="L65"/>
  <c r="L61"/>
  <c r="L52"/>
  <c r="L49"/>
  <c r="L46"/>
  <c r="L45"/>
  <c r="L40"/>
  <c r="L38"/>
  <c r="L33"/>
  <c r="L34"/>
  <c r="L35"/>
  <c r="L36"/>
  <c r="L37"/>
  <c r="L32"/>
  <c r="L30"/>
  <c r="L27"/>
  <c r="L29"/>
  <c r="L28"/>
  <c r="L16"/>
  <c r="L17"/>
  <c r="L18"/>
  <c r="L19"/>
  <c r="L20"/>
  <c r="L21"/>
  <c r="L22"/>
  <c r="L23"/>
  <c r="L24"/>
  <c r="L25"/>
  <c r="L26"/>
  <c r="T15"/>
  <c r="P17"/>
  <c r="Q17"/>
  <c r="Q16"/>
  <c r="Q15"/>
  <c r="I103"/>
  <c r="I100"/>
  <c r="I101"/>
  <c r="I99"/>
  <c r="I97"/>
  <c r="I96"/>
  <c r="I95"/>
  <c r="I92"/>
  <c r="I91"/>
  <c r="I89"/>
  <c r="I88"/>
  <c r="I86"/>
  <c r="I85"/>
  <c r="I82"/>
  <c r="I81"/>
  <c r="I79"/>
  <c r="I78"/>
  <c r="I76"/>
  <c r="I75"/>
  <c r="I73"/>
  <c r="I72"/>
  <c r="I69"/>
  <c r="I62"/>
  <c r="I61"/>
  <c r="I66"/>
  <c r="I65"/>
  <c r="I59"/>
  <c r="I56"/>
  <c r="I53"/>
  <c r="I52"/>
  <c r="I50"/>
  <c r="I49"/>
  <c r="I47"/>
  <c r="I46"/>
  <c r="H40"/>
  <c r="J16"/>
  <c r="J12"/>
  <c r="J11"/>
  <c r="J10"/>
  <c r="H10"/>
  <c r="I115"/>
  <c r="I114"/>
  <c r="I109"/>
  <c r="I108"/>
  <c r="I104"/>
  <c r="I68"/>
  <c r="I39"/>
  <c r="I35"/>
  <c r="I37"/>
  <c r="I38"/>
  <c r="I28"/>
  <c r="I29"/>
  <c r="I16"/>
  <c r="I17"/>
  <c r="I18"/>
  <c r="I19"/>
  <c r="I20"/>
  <c r="I21"/>
  <c r="I22"/>
  <c r="I23"/>
  <c r="I24"/>
  <c r="I25"/>
  <c r="I26"/>
  <c r="I27"/>
  <c r="I15"/>
  <c r="E10"/>
  <c r="E59"/>
  <c r="E109"/>
  <c r="E118"/>
  <c r="E115"/>
  <c r="E104"/>
  <c r="E101"/>
  <c r="E97"/>
  <c r="E92"/>
  <c r="E89"/>
  <c r="E86"/>
  <c r="E82"/>
  <c r="E79"/>
  <c r="E76"/>
  <c r="E73"/>
  <c r="E69"/>
  <c r="E66"/>
  <c r="E62"/>
  <c r="E53"/>
  <c r="E50"/>
  <c r="R49"/>
  <c r="E47"/>
  <c r="E43"/>
  <c r="E40"/>
  <c r="G119"/>
  <c r="L118"/>
  <c r="D118"/>
  <c r="L115"/>
  <c r="H115"/>
  <c r="D115"/>
  <c r="J114"/>
  <c r="J115" s="1"/>
  <c r="L112"/>
  <c r="D112"/>
  <c r="M109"/>
  <c r="L109"/>
  <c r="H109"/>
  <c r="G109"/>
  <c r="G112" s="1"/>
  <c r="F109"/>
  <c r="F112" s="1"/>
  <c r="D109"/>
  <c r="J108"/>
  <c r="J109" s="1"/>
  <c r="L104"/>
  <c r="H104"/>
  <c r="D104"/>
  <c r="J103"/>
  <c r="H101"/>
  <c r="G101"/>
  <c r="G104" s="1"/>
  <c r="F101"/>
  <c r="D101"/>
  <c r="L101"/>
  <c r="J100"/>
  <c r="M100" s="1"/>
  <c r="M101" s="1"/>
  <c r="J99"/>
  <c r="J101" s="1"/>
  <c r="H97"/>
  <c r="G97"/>
  <c r="F97"/>
  <c r="D97"/>
  <c r="L97"/>
  <c r="J96"/>
  <c r="M96" s="1"/>
  <c r="M97" s="1"/>
  <c r="J95"/>
  <c r="M95" s="1"/>
  <c r="G92"/>
  <c r="F92"/>
  <c r="D92"/>
  <c r="L92"/>
  <c r="H91"/>
  <c r="H92" s="1"/>
  <c r="H89"/>
  <c r="D89"/>
  <c r="L89"/>
  <c r="M88"/>
  <c r="M89" s="1"/>
  <c r="J88"/>
  <c r="J89" s="1"/>
  <c r="H86"/>
  <c r="G86"/>
  <c r="G89" s="1"/>
  <c r="F86"/>
  <c r="F89" s="1"/>
  <c r="D86"/>
  <c r="L86"/>
  <c r="M86"/>
  <c r="J85"/>
  <c r="J86" s="1"/>
  <c r="H82"/>
  <c r="D82"/>
  <c r="L82"/>
  <c r="H81"/>
  <c r="J81" s="1"/>
  <c r="H79"/>
  <c r="G79"/>
  <c r="G82" s="1"/>
  <c r="F79"/>
  <c r="F82" s="1"/>
  <c r="D79"/>
  <c r="L79"/>
  <c r="J78"/>
  <c r="J79" s="1"/>
  <c r="H76"/>
  <c r="J76" s="1"/>
  <c r="M76" s="1"/>
  <c r="D76"/>
  <c r="L76"/>
  <c r="J75"/>
  <c r="M75" s="1"/>
  <c r="H73"/>
  <c r="J73" s="1"/>
  <c r="G73"/>
  <c r="G76" s="1"/>
  <c r="F73"/>
  <c r="F76" s="1"/>
  <c r="D73"/>
  <c r="L73"/>
  <c r="J72"/>
  <c r="M72" s="1"/>
  <c r="M73" s="1"/>
  <c r="H69"/>
  <c r="J69" s="1"/>
  <c r="G69"/>
  <c r="F69"/>
  <c r="D69"/>
  <c r="L69"/>
  <c r="J68"/>
  <c r="H66"/>
  <c r="D66"/>
  <c r="L66"/>
  <c r="J65"/>
  <c r="J66" s="1"/>
  <c r="M65"/>
  <c r="H62"/>
  <c r="G62"/>
  <c r="G66" s="1"/>
  <c r="F62"/>
  <c r="F66" s="1"/>
  <c r="D62"/>
  <c r="L62"/>
  <c r="J61"/>
  <c r="J62" s="1"/>
  <c r="M61"/>
  <c r="M62" s="1"/>
  <c r="M59"/>
  <c r="L59"/>
  <c r="J59"/>
  <c r="H59"/>
  <c r="G59"/>
  <c r="F59"/>
  <c r="D59"/>
  <c r="J56"/>
  <c r="J53"/>
  <c r="H53"/>
  <c r="F53"/>
  <c r="D53"/>
  <c r="L53"/>
  <c r="J52"/>
  <c r="M52"/>
  <c r="M53" s="1"/>
  <c r="H50"/>
  <c r="G50"/>
  <c r="G53" s="1"/>
  <c r="F50"/>
  <c r="D50"/>
  <c r="Q49"/>
  <c r="Q50" s="1"/>
  <c r="L50"/>
  <c r="J49"/>
  <c r="J50" s="1"/>
  <c r="M50" s="1"/>
  <c r="L47"/>
  <c r="H47"/>
  <c r="G47"/>
  <c r="F47"/>
  <c r="D47"/>
  <c r="M46"/>
  <c r="J46"/>
  <c r="J45"/>
  <c r="M45" s="1"/>
  <c r="M43"/>
  <c r="L43"/>
  <c r="G43"/>
  <c r="F43"/>
  <c r="D43"/>
  <c r="D40"/>
  <c r="H39"/>
  <c r="Q39" s="1"/>
  <c r="H38"/>
  <c r="Q37"/>
  <c r="M37"/>
  <c r="J37"/>
  <c r="H36"/>
  <c r="Q35"/>
  <c r="J35"/>
  <c r="M35" s="1"/>
  <c r="Q34"/>
  <c r="J34"/>
  <c r="M34" s="1"/>
  <c r="Q33"/>
  <c r="J33"/>
  <c r="M33" s="1"/>
  <c r="Q32"/>
  <c r="G30"/>
  <c r="F30"/>
  <c r="D30"/>
  <c r="Q29"/>
  <c r="M29"/>
  <c r="J29"/>
  <c r="Q28"/>
  <c r="J28"/>
  <c r="M28" s="1"/>
  <c r="H27"/>
  <c r="Q27" s="1"/>
  <c r="H26"/>
  <c r="H25"/>
  <c r="Q25" s="1"/>
  <c r="H24"/>
  <c r="Q23"/>
  <c r="M23"/>
  <c r="J23"/>
  <c r="H22"/>
  <c r="Q22" s="1"/>
  <c r="H21"/>
  <c r="H20"/>
  <c r="Q20" s="1"/>
  <c r="Q19"/>
  <c r="M19"/>
  <c r="J19"/>
  <c r="Q18"/>
  <c r="J18"/>
  <c r="M18" s="1"/>
  <c r="M17"/>
  <c r="J17"/>
  <c r="M16"/>
  <c r="M15"/>
  <c r="D13"/>
  <c r="K12"/>
  <c r="M12" s="1"/>
  <c r="K11"/>
  <c r="M11" s="1"/>
  <c r="K10"/>
  <c r="M10" s="1"/>
  <c r="F10"/>
  <c r="F119" s="1"/>
  <c r="D10"/>
  <c r="D1074" i="15"/>
  <c r="P1194" i="1"/>
  <c r="P1195" s="1"/>
  <c r="P1178"/>
  <c r="P1179"/>
  <c r="P1180"/>
  <c r="P1182"/>
  <c r="P1177"/>
  <c r="P1161"/>
  <c r="P1162"/>
  <c r="P1163"/>
  <c r="P1164"/>
  <c r="P1168"/>
  <c r="P1173"/>
  <c r="K1245"/>
  <c r="K1246" s="1"/>
  <c r="K1241"/>
  <c r="K1242" s="1"/>
  <c r="K1240"/>
  <c r="K1236"/>
  <c r="K1237" s="1"/>
  <c r="K1233"/>
  <c r="K1234" s="1"/>
  <c r="K1230"/>
  <c r="K1231" s="1"/>
  <c r="K1226"/>
  <c r="K1227" s="1"/>
  <c r="K1223"/>
  <c r="K1224" s="1"/>
  <c r="K1220"/>
  <c r="K1221" s="1"/>
  <c r="K1217"/>
  <c r="K1218" s="1"/>
  <c r="K1213"/>
  <c r="K1214" s="1"/>
  <c r="K1210"/>
  <c r="K1211" s="1"/>
  <c r="K1206"/>
  <c r="K1197"/>
  <c r="K1198" s="1"/>
  <c r="K1194"/>
  <c r="K1195" s="1"/>
  <c r="K1191"/>
  <c r="K1192" s="1"/>
  <c r="K1190"/>
  <c r="K1185"/>
  <c r="K1184"/>
  <c r="K1178"/>
  <c r="K1179"/>
  <c r="K1180"/>
  <c r="K1181"/>
  <c r="K1182"/>
  <c r="K1183"/>
  <c r="K1177"/>
  <c r="K1175"/>
  <c r="K1174"/>
  <c r="K1161"/>
  <c r="K1162"/>
  <c r="K1163"/>
  <c r="K1164"/>
  <c r="K1165"/>
  <c r="K1166"/>
  <c r="K1167"/>
  <c r="K1168"/>
  <c r="K1169"/>
  <c r="K1170"/>
  <c r="K1171"/>
  <c r="K1172"/>
  <c r="K1173"/>
  <c r="K1160"/>
  <c r="O1162"/>
  <c r="G1236"/>
  <c r="I1236" s="1"/>
  <c r="G1184"/>
  <c r="P1184" s="1"/>
  <c r="G1183"/>
  <c r="P1183" s="1"/>
  <c r="G1181"/>
  <c r="P1181" s="1"/>
  <c r="G1172"/>
  <c r="I1172" s="1"/>
  <c r="J1172" s="1"/>
  <c r="L1172" s="1"/>
  <c r="G1171"/>
  <c r="P1171" s="1"/>
  <c r="G1170"/>
  <c r="P1170" s="1"/>
  <c r="G1167"/>
  <c r="P1167" s="1"/>
  <c r="G1166"/>
  <c r="P1166" s="1"/>
  <c r="G1165"/>
  <c r="P1165" s="1"/>
  <c r="G1169"/>
  <c r="P1169" s="1"/>
  <c r="G1160"/>
  <c r="P1160" s="1"/>
  <c r="I1253"/>
  <c r="J1253" s="1"/>
  <c r="L1253" s="1"/>
  <c r="L1254" s="1"/>
  <c r="I1248"/>
  <c r="J1248" s="1"/>
  <c r="L1248" s="1"/>
  <c r="H1253"/>
  <c r="G1254"/>
  <c r="G1226"/>
  <c r="I1226" s="1"/>
  <c r="F1264"/>
  <c r="K1263"/>
  <c r="D1263"/>
  <c r="G1260"/>
  <c r="D1260"/>
  <c r="I1259"/>
  <c r="I1260" s="1"/>
  <c r="H1259"/>
  <c r="K1257"/>
  <c r="D1257"/>
  <c r="F1254"/>
  <c r="F1257" s="1"/>
  <c r="E1254"/>
  <c r="E1257" s="1"/>
  <c r="D1254"/>
  <c r="G1249"/>
  <c r="D1249"/>
  <c r="I1249"/>
  <c r="H1248"/>
  <c r="G1246"/>
  <c r="F1246"/>
  <c r="F1249" s="1"/>
  <c r="E1246"/>
  <c r="D1246"/>
  <c r="I1245"/>
  <c r="J1245" s="1"/>
  <c r="L1245" s="1"/>
  <c r="H1245"/>
  <c r="I1244"/>
  <c r="I1246" s="1"/>
  <c r="H1244"/>
  <c r="G1242"/>
  <c r="F1242"/>
  <c r="E1242"/>
  <c r="D1242"/>
  <c r="I1241"/>
  <c r="J1241" s="1"/>
  <c r="L1241" s="1"/>
  <c r="L1242" s="1"/>
  <c r="H1241"/>
  <c r="I1240"/>
  <c r="I1242" s="1"/>
  <c r="H1240"/>
  <c r="F1237"/>
  <c r="E1237"/>
  <c r="D1237"/>
  <c r="G1234"/>
  <c r="D1234"/>
  <c r="I1233"/>
  <c r="I1234" s="1"/>
  <c r="H1233"/>
  <c r="G1231"/>
  <c r="F1231"/>
  <c r="F1234" s="1"/>
  <c r="E1231"/>
  <c r="E1234" s="1"/>
  <c r="D1231"/>
  <c r="I1230"/>
  <c r="I1231" s="1"/>
  <c r="H1230"/>
  <c r="H1231" s="1"/>
  <c r="D1227"/>
  <c r="G1224"/>
  <c r="F1224"/>
  <c r="F1227" s="1"/>
  <c r="E1224"/>
  <c r="E1227" s="1"/>
  <c r="D1224"/>
  <c r="I1223"/>
  <c r="I1224" s="1"/>
  <c r="H1223"/>
  <c r="H1224" s="1"/>
  <c r="G1221"/>
  <c r="I1221" s="1"/>
  <c r="D1221"/>
  <c r="I1220"/>
  <c r="J1220" s="1"/>
  <c r="L1220" s="1"/>
  <c r="H1220"/>
  <c r="G1218"/>
  <c r="I1218" s="1"/>
  <c r="F1218"/>
  <c r="F1221" s="1"/>
  <c r="E1218"/>
  <c r="E1221" s="1"/>
  <c r="D1218"/>
  <c r="I1217"/>
  <c r="J1217" s="1"/>
  <c r="L1217" s="1"/>
  <c r="L1218" s="1"/>
  <c r="H1217"/>
  <c r="G1214"/>
  <c r="I1214" s="1"/>
  <c r="F1214"/>
  <c r="E1214"/>
  <c r="D1214"/>
  <c r="I1213"/>
  <c r="J1213" s="1"/>
  <c r="L1213" s="1"/>
  <c r="L1214" s="1"/>
  <c r="H1213"/>
  <c r="G1211"/>
  <c r="D1211"/>
  <c r="I1210"/>
  <c r="I1211" s="1"/>
  <c r="H1210"/>
  <c r="J1210" s="1"/>
  <c r="L1210" s="1"/>
  <c r="G1207"/>
  <c r="F1207"/>
  <c r="F1211" s="1"/>
  <c r="E1207"/>
  <c r="E1211" s="1"/>
  <c r="D1207"/>
  <c r="K1207"/>
  <c r="I1206"/>
  <c r="I1207" s="1"/>
  <c r="H1206"/>
  <c r="J1206" s="1"/>
  <c r="L1206" s="1"/>
  <c r="L1207" s="1"/>
  <c r="G1204"/>
  <c r="F1204"/>
  <c r="E1204"/>
  <c r="D1204"/>
  <c r="I1201"/>
  <c r="I1204" s="1"/>
  <c r="H1201"/>
  <c r="J1201" s="1"/>
  <c r="L1201" s="1"/>
  <c r="L1204" s="1"/>
  <c r="G1198"/>
  <c r="D1198"/>
  <c r="I1197"/>
  <c r="I1198" s="1"/>
  <c r="H1197"/>
  <c r="J1197" s="1"/>
  <c r="L1197" s="1"/>
  <c r="L1198" s="1"/>
  <c r="G1195"/>
  <c r="F1195"/>
  <c r="F1198" s="1"/>
  <c r="E1195"/>
  <c r="E1198" s="1"/>
  <c r="D1195"/>
  <c r="I1194"/>
  <c r="I1195" s="1"/>
  <c r="H1194"/>
  <c r="G1192"/>
  <c r="F1192"/>
  <c r="E1192"/>
  <c r="D1192"/>
  <c r="I1191"/>
  <c r="J1191" s="1"/>
  <c r="L1191" s="1"/>
  <c r="H1191"/>
  <c r="I1190"/>
  <c r="J1190" s="1"/>
  <c r="L1190" s="1"/>
  <c r="H1190"/>
  <c r="L1188"/>
  <c r="K1188"/>
  <c r="F1188"/>
  <c r="E1188"/>
  <c r="D1188"/>
  <c r="D1185"/>
  <c r="I1182"/>
  <c r="J1182" s="1"/>
  <c r="L1182" s="1"/>
  <c r="H1182"/>
  <c r="I1180"/>
  <c r="J1180" s="1"/>
  <c r="L1180" s="1"/>
  <c r="H1180"/>
  <c r="I1179"/>
  <c r="J1179" s="1"/>
  <c r="L1179" s="1"/>
  <c r="H1179"/>
  <c r="I1178"/>
  <c r="J1178" s="1"/>
  <c r="L1178" s="1"/>
  <c r="H1178"/>
  <c r="I1177"/>
  <c r="H1177"/>
  <c r="F1175"/>
  <c r="E1175"/>
  <c r="D1175"/>
  <c r="I1173"/>
  <c r="J1173" s="1"/>
  <c r="L1173" s="1"/>
  <c r="H1173"/>
  <c r="I1168"/>
  <c r="J1168" s="1"/>
  <c r="L1168" s="1"/>
  <c r="H1168"/>
  <c r="I1164"/>
  <c r="J1164" s="1"/>
  <c r="L1164" s="1"/>
  <c r="H1164"/>
  <c r="I1163"/>
  <c r="J1163" s="1"/>
  <c r="L1163" s="1"/>
  <c r="H1163"/>
  <c r="I1162"/>
  <c r="J1162" s="1"/>
  <c r="L1162" s="1"/>
  <c r="H1162"/>
  <c r="I1161"/>
  <c r="J1161" s="1"/>
  <c r="L1161" s="1"/>
  <c r="H1161"/>
  <c r="I1157"/>
  <c r="I1156"/>
  <c r="G1155"/>
  <c r="E1155"/>
  <c r="E1264" s="1"/>
  <c r="D1155"/>
  <c r="H16" i="13"/>
  <c r="F7" i="5"/>
  <c r="H18"/>
  <c r="H16"/>
  <c r="H7"/>
  <c r="H14"/>
  <c r="G7"/>
  <c r="G14"/>
  <c r="G9"/>
  <c r="G20" s="1"/>
  <c r="G18"/>
  <c r="G15"/>
  <c r="G8"/>
  <c r="K1031" i="1"/>
  <c r="K1030"/>
  <c r="K1029"/>
  <c r="K1028"/>
  <c r="K1094"/>
  <c r="K1119"/>
  <c r="K1137"/>
  <c r="K1118"/>
  <c r="K1117"/>
  <c r="K1114"/>
  <c r="K1115" s="1"/>
  <c r="K1113"/>
  <c r="K1109"/>
  <c r="K1110" s="1"/>
  <c r="K1106"/>
  <c r="K1107" s="1"/>
  <c r="K1103"/>
  <c r="K1099"/>
  <c r="K1100" s="1"/>
  <c r="K1096"/>
  <c r="K1097" s="1"/>
  <c r="K1093"/>
  <c r="K1090"/>
  <c r="K1091" s="1"/>
  <c r="K1086"/>
  <c r="K1087" s="1"/>
  <c r="K1083"/>
  <c r="K1084" s="1"/>
  <c r="K1079"/>
  <c r="K1080" s="1"/>
  <c r="K1070"/>
  <c r="K1071" s="1"/>
  <c r="K1067"/>
  <c r="K1068" s="1"/>
  <c r="K1064"/>
  <c r="K1065" s="1"/>
  <c r="K1063"/>
  <c r="K1058"/>
  <c r="K1057"/>
  <c r="K1051"/>
  <c r="K1052"/>
  <c r="K1053"/>
  <c r="K1054"/>
  <c r="K1055"/>
  <c r="K1056"/>
  <c r="K1050"/>
  <c r="K1048"/>
  <c r="K1047"/>
  <c r="K1043"/>
  <c r="K1044"/>
  <c r="K1045"/>
  <c r="K1046"/>
  <c r="K1034"/>
  <c r="K1035"/>
  <c r="K1036"/>
  <c r="K1037"/>
  <c r="K1038"/>
  <c r="K1039"/>
  <c r="K1040"/>
  <c r="K1041"/>
  <c r="K1042"/>
  <c r="K1033"/>
  <c r="P1131"/>
  <c r="G1028"/>
  <c r="R1043"/>
  <c r="G1044"/>
  <c r="H1044" s="1"/>
  <c r="N1043"/>
  <c r="N1042"/>
  <c r="N1039"/>
  <c r="N1040"/>
  <c r="N1037"/>
  <c r="G1033"/>
  <c r="H1033" s="1"/>
  <c r="J1033" s="1"/>
  <c r="L1033" s="1"/>
  <c r="N1142"/>
  <c r="N1126"/>
  <c r="N1135"/>
  <c r="G1109"/>
  <c r="I1109" s="1"/>
  <c r="G1057"/>
  <c r="I1057" s="1"/>
  <c r="J1057" s="1"/>
  <c r="L1057" s="1"/>
  <c r="G1056"/>
  <c r="H1056" s="1"/>
  <c r="G1054"/>
  <c r="H1054" s="1"/>
  <c r="G1045"/>
  <c r="H1045" s="1"/>
  <c r="G1043"/>
  <c r="H1043" s="1"/>
  <c r="G1040"/>
  <c r="H1040" s="1"/>
  <c r="G1039"/>
  <c r="I1039" s="1"/>
  <c r="J1039" s="1"/>
  <c r="L1039" s="1"/>
  <c r="G1038"/>
  <c r="H1038" s="1"/>
  <c r="G1042"/>
  <c r="H1042" s="1"/>
  <c r="I1121"/>
  <c r="I1122" s="1"/>
  <c r="H1121"/>
  <c r="G1122"/>
  <c r="H1074"/>
  <c r="J1074" s="1"/>
  <c r="G1077"/>
  <c r="H1132"/>
  <c r="G1133"/>
  <c r="I1132"/>
  <c r="J1132" s="1"/>
  <c r="F1137"/>
  <c r="K1136"/>
  <c r="D1136"/>
  <c r="K1133"/>
  <c r="D1133"/>
  <c r="K1130"/>
  <c r="D1130"/>
  <c r="L1127"/>
  <c r="K1127"/>
  <c r="I1127"/>
  <c r="F1127"/>
  <c r="F1130" s="1"/>
  <c r="E1127"/>
  <c r="E1130" s="1"/>
  <c r="D1127"/>
  <c r="K1122"/>
  <c r="D1122"/>
  <c r="G1119"/>
  <c r="F1119"/>
  <c r="F1122" s="1"/>
  <c r="E1119"/>
  <c r="D1119"/>
  <c r="I1118"/>
  <c r="J1118" s="1"/>
  <c r="L1118" s="1"/>
  <c r="L1119" s="1"/>
  <c r="H1118"/>
  <c r="I1117"/>
  <c r="I1119" s="1"/>
  <c r="H1117"/>
  <c r="G1115"/>
  <c r="F1115"/>
  <c r="E1115"/>
  <c r="D1115"/>
  <c r="I1114"/>
  <c r="J1114" s="1"/>
  <c r="L1114" s="1"/>
  <c r="L1115" s="1"/>
  <c r="H1114"/>
  <c r="I1113"/>
  <c r="J1113" s="1"/>
  <c r="L1113" s="1"/>
  <c r="H1113"/>
  <c r="F1110"/>
  <c r="E1110"/>
  <c r="D1110"/>
  <c r="G1107"/>
  <c r="D1107"/>
  <c r="I1106"/>
  <c r="I1107" s="1"/>
  <c r="H1106"/>
  <c r="G1104"/>
  <c r="F1104"/>
  <c r="F1107" s="1"/>
  <c r="E1104"/>
  <c r="E1107" s="1"/>
  <c r="D1104"/>
  <c r="K1104"/>
  <c r="I1103"/>
  <c r="I1104" s="1"/>
  <c r="H1103"/>
  <c r="H1104" s="1"/>
  <c r="D1100"/>
  <c r="G1099"/>
  <c r="I1099" s="1"/>
  <c r="G1097"/>
  <c r="F1097"/>
  <c r="F1100" s="1"/>
  <c r="E1097"/>
  <c r="E1100" s="1"/>
  <c r="D1097"/>
  <c r="I1096"/>
  <c r="I1097" s="1"/>
  <c r="H1096"/>
  <c r="H1097" s="1"/>
  <c r="G1094"/>
  <c r="I1094" s="1"/>
  <c r="D1094"/>
  <c r="I1093"/>
  <c r="J1093" s="1"/>
  <c r="L1093" s="1"/>
  <c r="H1093"/>
  <c r="G1091"/>
  <c r="I1091" s="1"/>
  <c r="F1091"/>
  <c r="F1094" s="1"/>
  <c r="E1091"/>
  <c r="E1094" s="1"/>
  <c r="D1091"/>
  <c r="I1090"/>
  <c r="J1090" s="1"/>
  <c r="L1090" s="1"/>
  <c r="L1091" s="1"/>
  <c r="H1090"/>
  <c r="G1087"/>
  <c r="I1087" s="1"/>
  <c r="F1087"/>
  <c r="E1087"/>
  <c r="D1087"/>
  <c r="I1086"/>
  <c r="J1086" s="1"/>
  <c r="L1086" s="1"/>
  <c r="L1087" s="1"/>
  <c r="H1086"/>
  <c r="G1084"/>
  <c r="D1084"/>
  <c r="I1083"/>
  <c r="I1084" s="1"/>
  <c r="H1083"/>
  <c r="J1083" s="1"/>
  <c r="L1083" s="1"/>
  <c r="L1080"/>
  <c r="G1080"/>
  <c r="F1080"/>
  <c r="F1084" s="1"/>
  <c r="E1080"/>
  <c r="E1084" s="1"/>
  <c r="D1080"/>
  <c r="I1079"/>
  <c r="I1080" s="1"/>
  <c r="H1079"/>
  <c r="J1079" s="1"/>
  <c r="L1077"/>
  <c r="K1077"/>
  <c r="F1077"/>
  <c r="E1077"/>
  <c r="D1077"/>
  <c r="I1074"/>
  <c r="I1077" s="1"/>
  <c r="G1071"/>
  <c r="D1071"/>
  <c r="I1070"/>
  <c r="I1071" s="1"/>
  <c r="H1070"/>
  <c r="J1070" s="1"/>
  <c r="L1070" s="1"/>
  <c r="L1071" s="1"/>
  <c r="G1068"/>
  <c r="F1068"/>
  <c r="F1071" s="1"/>
  <c r="E1068"/>
  <c r="E1071" s="1"/>
  <c r="D1068"/>
  <c r="I1067"/>
  <c r="I1068" s="1"/>
  <c r="H1067"/>
  <c r="G1065"/>
  <c r="F1065"/>
  <c r="E1065"/>
  <c r="D1065"/>
  <c r="I1064"/>
  <c r="J1064" s="1"/>
  <c r="L1064" s="1"/>
  <c r="H1064"/>
  <c r="I1063"/>
  <c r="J1063" s="1"/>
  <c r="L1063" s="1"/>
  <c r="H1063"/>
  <c r="L1061"/>
  <c r="K1061"/>
  <c r="F1061"/>
  <c r="E1061"/>
  <c r="D1061"/>
  <c r="D1058"/>
  <c r="I1055"/>
  <c r="J1055" s="1"/>
  <c r="L1055" s="1"/>
  <c r="H1055"/>
  <c r="I1053"/>
  <c r="J1053" s="1"/>
  <c r="L1053" s="1"/>
  <c r="H1053"/>
  <c r="I1052"/>
  <c r="J1052" s="1"/>
  <c r="L1052" s="1"/>
  <c r="H1052"/>
  <c r="I1051"/>
  <c r="J1051" s="1"/>
  <c r="L1051" s="1"/>
  <c r="H1051"/>
  <c r="I1050"/>
  <c r="J1050" s="1"/>
  <c r="L1050" s="1"/>
  <c r="H1050"/>
  <c r="F1048"/>
  <c r="E1048"/>
  <c r="D1048"/>
  <c r="I1047"/>
  <c r="J1047" s="1"/>
  <c r="L1047" s="1"/>
  <c r="H1047"/>
  <c r="H1046"/>
  <c r="I1041"/>
  <c r="J1041" s="1"/>
  <c r="L1041" s="1"/>
  <c r="H1041"/>
  <c r="I1038"/>
  <c r="J1038" s="1"/>
  <c r="L1038" s="1"/>
  <c r="I1037"/>
  <c r="J1037" s="1"/>
  <c r="L1037" s="1"/>
  <c r="H1037"/>
  <c r="I1036"/>
  <c r="J1036" s="1"/>
  <c r="L1036" s="1"/>
  <c r="H1036"/>
  <c r="I1035"/>
  <c r="J1035" s="1"/>
  <c r="L1035" s="1"/>
  <c r="H1035"/>
  <c r="I1034"/>
  <c r="J1034" s="1"/>
  <c r="L1034" s="1"/>
  <c r="H1034"/>
  <c r="I1030"/>
  <c r="J1030" s="1"/>
  <c r="L1030" s="1"/>
  <c r="H1030"/>
  <c r="I1029"/>
  <c r="J1029" s="1"/>
  <c r="L1029" s="1"/>
  <c r="H1029"/>
  <c r="E1028"/>
  <c r="E1137" s="1"/>
  <c r="D1028"/>
  <c r="N903"/>
  <c r="G901"/>
  <c r="G21" i="13"/>
  <c r="G982" i="1"/>
  <c r="G929"/>
  <c r="N929" s="1"/>
  <c r="G927"/>
  <c r="N927" s="1"/>
  <c r="G919"/>
  <c r="N919" s="1"/>
  <c r="G918"/>
  <c r="N918" s="1"/>
  <c r="G917"/>
  <c r="N917" s="1"/>
  <c r="G916"/>
  <c r="N916" s="1"/>
  <c r="G915"/>
  <c r="N915" s="1"/>
  <c r="G913"/>
  <c r="G912"/>
  <c r="N912" s="1"/>
  <c r="G911"/>
  <c r="N911" s="1"/>
  <c r="G906"/>
  <c r="N906" s="1"/>
  <c r="N933"/>
  <c r="N948"/>
  <c r="N947"/>
  <c r="N994"/>
  <c r="N1002"/>
  <c r="N999"/>
  <c r="N956"/>
  <c r="N910"/>
  <c r="N913"/>
  <c r="N914"/>
  <c r="N920"/>
  <c r="N922"/>
  <c r="N923"/>
  <c r="N924"/>
  <c r="N925"/>
  <c r="N926"/>
  <c r="N928"/>
  <c r="N932"/>
  <c r="N936"/>
  <c r="N937"/>
  <c r="N939"/>
  <c r="N942"/>
  <c r="N943"/>
  <c r="N945"/>
  <c r="N946"/>
  <c r="N949"/>
  <c r="N951"/>
  <c r="N954"/>
  <c r="N958"/>
  <c r="N959"/>
  <c r="N961"/>
  <c r="N962"/>
  <c r="N963"/>
  <c r="N965"/>
  <c r="N966"/>
  <c r="N968"/>
  <c r="N971"/>
  <c r="N974"/>
  <c r="N975"/>
  <c r="N978"/>
  <c r="N979"/>
  <c r="N981"/>
  <c r="N984"/>
  <c r="N985"/>
  <c r="N986"/>
  <c r="N987"/>
  <c r="N989"/>
  <c r="N990"/>
  <c r="N991"/>
  <c r="N993"/>
  <c r="N997"/>
  <c r="N998"/>
  <c r="N1007"/>
  <c r="N905"/>
  <c r="N907"/>
  <c r="N908"/>
  <c r="N909"/>
  <c r="K1010"/>
  <c r="K967"/>
  <c r="K953"/>
  <c r="K952"/>
  <c r="K992"/>
  <c r="K991"/>
  <c r="K990"/>
  <c r="K988"/>
  <c r="K987"/>
  <c r="K986"/>
  <c r="K982"/>
  <c r="K979"/>
  <c r="K976"/>
  <c r="K972"/>
  <c r="K969"/>
  <c r="K966"/>
  <c r="K963"/>
  <c r="K959"/>
  <c r="K957"/>
  <c r="K956"/>
  <c r="K944"/>
  <c r="K943"/>
  <c r="K941"/>
  <c r="K940"/>
  <c r="K938"/>
  <c r="K937"/>
  <c r="K936"/>
  <c r="K931"/>
  <c r="K930"/>
  <c r="K924"/>
  <c r="K925"/>
  <c r="K926"/>
  <c r="K927"/>
  <c r="K928"/>
  <c r="K929"/>
  <c r="K923"/>
  <c r="K921"/>
  <c r="K920"/>
  <c r="K907"/>
  <c r="K908"/>
  <c r="K909"/>
  <c r="K910"/>
  <c r="K911"/>
  <c r="K912"/>
  <c r="K913"/>
  <c r="K914"/>
  <c r="K915"/>
  <c r="K916"/>
  <c r="K917"/>
  <c r="K918"/>
  <c r="K919"/>
  <c r="K906"/>
  <c r="D1104" i="15"/>
  <c r="H1174" i="1" l="1"/>
  <c r="H1160"/>
  <c r="J1160" s="1"/>
  <c r="L1160" s="1"/>
  <c r="H1167"/>
  <c r="H1039"/>
  <c r="H1165"/>
  <c r="H1181"/>
  <c r="H1282"/>
  <c r="I1165"/>
  <c r="J1165" s="1"/>
  <c r="L1165" s="1"/>
  <c r="I1167"/>
  <c r="J1167" s="1"/>
  <c r="L1167" s="1"/>
  <c r="H1171"/>
  <c r="I1184"/>
  <c r="J1184" s="1"/>
  <c r="L1184" s="1"/>
  <c r="P1174"/>
  <c r="J1322"/>
  <c r="L1322" s="1"/>
  <c r="J1068"/>
  <c r="L1068" s="1"/>
  <c r="H1166"/>
  <c r="G1185"/>
  <c r="H1185" s="1"/>
  <c r="I1183"/>
  <c r="J1183" s="1"/>
  <c r="L1183" s="1"/>
  <c r="L1211"/>
  <c r="H1331"/>
  <c r="J1331" s="1"/>
  <c r="H1364"/>
  <c r="H1170"/>
  <c r="H1172"/>
  <c r="J1221"/>
  <c r="L1221" s="1"/>
  <c r="H1236"/>
  <c r="G1237"/>
  <c r="J1246"/>
  <c r="J1361"/>
  <c r="D1412"/>
  <c r="J1087"/>
  <c r="J1260"/>
  <c r="L1260" s="1"/>
  <c r="J1107"/>
  <c r="H1207"/>
  <c r="J1207" s="1"/>
  <c r="H1517"/>
  <c r="J1067"/>
  <c r="L1067" s="1"/>
  <c r="H1068"/>
  <c r="J1259"/>
  <c r="L1259" s="1"/>
  <c r="H1260"/>
  <c r="Q61" i="18"/>
  <c r="Q62" s="1"/>
  <c r="Q54"/>
  <c r="Q55" s="1"/>
  <c r="R55" s="1"/>
  <c r="H1503" i="1"/>
  <c r="J1096"/>
  <c r="L1096" s="1"/>
  <c r="L1097" s="1"/>
  <c r="J1218"/>
  <c r="H1242"/>
  <c r="H1246"/>
  <c r="J1249"/>
  <c r="L1249" s="1"/>
  <c r="G1312"/>
  <c r="H1312" s="1"/>
  <c r="D1031"/>
  <c r="D1137" s="1"/>
  <c r="H1077"/>
  <c r="J1077" s="1"/>
  <c r="P1172"/>
  <c r="I1040"/>
  <c r="J1040" s="1"/>
  <c r="L1040" s="1"/>
  <c r="I1056"/>
  <c r="J1056" s="1"/>
  <c r="L1056" s="1"/>
  <c r="H1109"/>
  <c r="G1110"/>
  <c r="H1110" s="1"/>
  <c r="N1041"/>
  <c r="G1175"/>
  <c r="Q1175" s="1"/>
  <c r="I1166"/>
  <c r="J1166" s="1"/>
  <c r="L1166" s="1"/>
  <c r="H1169"/>
  <c r="D1158"/>
  <c r="D1264" s="1"/>
  <c r="H1249"/>
  <c r="I1254"/>
  <c r="J1254" s="1"/>
  <c r="D1285"/>
  <c r="D1391" s="1"/>
  <c r="J1360"/>
  <c r="L1360" s="1"/>
  <c r="L1361" s="1"/>
  <c r="H1361"/>
  <c r="J1448"/>
  <c r="L1448" s="1"/>
  <c r="J1477"/>
  <c r="L1477" s="1"/>
  <c r="L1478" s="1"/>
  <c r="H1488"/>
  <c r="I1496"/>
  <c r="J1496" s="1"/>
  <c r="H1514"/>
  <c r="H1133"/>
  <c r="N1265"/>
  <c r="H1437"/>
  <c r="H1446"/>
  <c r="H1452"/>
  <c r="J1452" s="1"/>
  <c r="J1468"/>
  <c r="J1475"/>
  <c r="L1475" s="1"/>
  <c r="J1494"/>
  <c r="L1494" s="1"/>
  <c r="I1500"/>
  <c r="J1500" s="1"/>
  <c r="H1508"/>
  <c r="I1465"/>
  <c r="H1057"/>
  <c r="L1084"/>
  <c r="H1084"/>
  <c r="J1084" s="1"/>
  <c r="N1097"/>
  <c r="N1104"/>
  <c r="J1119"/>
  <c r="H1122"/>
  <c r="J1122"/>
  <c r="N1044"/>
  <c r="J1195"/>
  <c r="L1195" s="1"/>
  <c r="J1214"/>
  <c r="H1234"/>
  <c r="J1242"/>
  <c r="H1254"/>
  <c r="N1175"/>
  <c r="H1319"/>
  <c r="H1325"/>
  <c r="J1325" s="1"/>
  <c r="H1338"/>
  <c r="J1338" s="1"/>
  <c r="J1341"/>
  <c r="H1345"/>
  <c r="J1348"/>
  <c r="L1348" s="1"/>
  <c r="H1353"/>
  <c r="H1369"/>
  <c r="H1373"/>
  <c r="J1380"/>
  <c r="L1380" s="1"/>
  <c r="L1381" s="1"/>
  <c r="G1439"/>
  <c r="H1439" s="1"/>
  <c r="P1185"/>
  <c r="H1065"/>
  <c r="H1071"/>
  <c r="J1071" s="1"/>
  <c r="H1080"/>
  <c r="J1080" s="1"/>
  <c r="J1091"/>
  <c r="J1094"/>
  <c r="L1094" s="1"/>
  <c r="H1107"/>
  <c r="I1115"/>
  <c r="J1115" s="1"/>
  <c r="H1115"/>
  <c r="H1119"/>
  <c r="I1133"/>
  <c r="J1133" s="1"/>
  <c r="J1121"/>
  <c r="I1192"/>
  <c r="H1192"/>
  <c r="H1195"/>
  <c r="H1198"/>
  <c r="J1198" s="1"/>
  <c r="H1204"/>
  <c r="J1204" s="1"/>
  <c r="H1211"/>
  <c r="J1211" s="1"/>
  <c r="J1234"/>
  <c r="H1237"/>
  <c r="J1240"/>
  <c r="L1240" s="1"/>
  <c r="J1157"/>
  <c r="L1157" s="1"/>
  <c r="N1176"/>
  <c r="G1302"/>
  <c r="H1302" s="1"/>
  <c r="H1296"/>
  <c r="H1297"/>
  <c r="H1298"/>
  <c r="H1299"/>
  <c r="H1308"/>
  <c r="I1319"/>
  <c r="J1319" s="1"/>
  <c r="L1319" s="1"/>
  <c r="H1322"/>
  <c r="H1334"/>
  <c r="J1334" s="1"/>
  <c r="H1341"/>
  <c r="J1345"/>
  <c r="H1348"/>
  <c r="G1354"/>
  <c r="H1354" s="1"/>
  <c r="J1357"/>
  <c r="J1358" s="1"/>
  <c r="L1358" s="1"/>
  <c r="I1373"/>
  <c r="J1373" s="1"/>
  <c r="H1376"/>
  <c r="J1386"/>
  <c r="L1386" s="1"/>
  <c r="D1518"/>
  <c r="N1521" s="1"/>
  <c r="G1429"/>
  <c r="H1428"/>
  <c r="H1438"/>
  <c r="I1446"/>
  <c r="J1446" s="1"/>
  <c r="L1446" s="1"/>
  <c r="H1449"/>
  <c r="H1458"/>
  <c r="J1458" s="1"/>
  <c r="H1461"/>
  <c r="J1461" s="1"/>
  <c r="J1472"/>
  <c r="H1490"/>
  <c r="H1496"/>
  <c r="H1500"/>
  <c r="J1502"/>
  <c r="L1502" s="1"/>
  <c r="J1117"/>
  <c r="L1117" s="1"/>
  <c r="L1246"/>
  <c r="H1155"/>
  <c r="J1156"/>
  <c r="L1156" s="1"/>
  <c r="J1449"/>
  <c r="L1449" s="1"/>
  <c r="G1491"/>
  <c r="H1491" s="1"/>
  <c r="J1460"/>
  <c r="L1460" s="1"/>
  <c r="L1461" s="1"/>
  <c r="L1465" s="1"/>
  <c r="H1465"/>
  <c r="J1465" s="1"/>
  <c r="I1481"/>
  <c r="J1481" s="1"/>
  <c r="J1480"/>
  <c r="L1480" s="1"/>
  <c r="L1481" s="1"/>
  <c r="H1429"/>
  <c r="I1491"/>
  <c r="J1491" s="1"/>
  <c r="J1490"/>
  <c r="L1490" s="1"/>
  <c r="L1491" s="1"/>
  <c r="H1409"/>
  <c r="H1423"/>
  <c r="H1424"/>
  <c r="H1425"/>
  <c r="H1426"/>
  <c r="J1432"/>
  <c r="L1432" s="1"/>
  <c r="H1435"/>
  <c r="J1444"/>
  <c r="L1444" s="1"/>
  <c r="H1468"/>
  <c r="H1472"/>
  <c r="H1475"/>
  <c r="J1478"/>
  <c r="H1480"/>
  <c r="G1481"/>
  <c r="H1481" s="1"/>
  <c r="J1484"/>
  <c r="J1487"/>
  <c r="L1487" s="1"/>
  <c r="L1488" s="1"/>
  <c r="J1498"/>
  <c r="L1498" s="1"/>
  <c r="J1507"/>
  <c r="L1507" s="1"/>
  <c r="L1508" s="1"/>
  <c r="J1513"/>
  <c r="L1513" s="1"/>
  <c r="I1409"/>
  <c r="J1409" s="1"/>
  <c r="L1409" s="1"/>
  <c r="I1423"/>
  <c r="J1423" s="1"/>
  <c r="L1423" s="1"/>
  <c r="I1435"/>
  <c r="J1435" s="1"/>
  <c r="L1435" s="1"/>
  <c r="J1387"/>
  <c r="L1387" s="1"/>
  <c r="H1387"/>
  <c r="H1381"/>
  <c r="J1381"/>
  <c r="L1338"/>
  <c r="I1354"/>
  <c r="J1354" s="1"/>
  <c r="J1353"/>
  <c r="L1353" s="1"/>
  <c r="L1354" s="1"/>
  <c r="I1287"/>
  <c r="I1292"/>
  <c r="J1292" s="1"/>
  <c r="L1292" s="1"/>
  <c r="I1293"/>
  <c r="J1293" s="1"/>
  <c r="L1293" s="1"/>
  <c r="I1294"/>
  <c r="J1294" s="1"/>
  <c r="L1294" s="1"/>
  <c r="I1301"/>
  <c r="J1301" s="1"/>
  <c r="L1301" s="1"/>
  <c r="I1310"/>
  <c r="J1310" s="1"/>
  <c r="L1310" s="1"/>
  <c r="I1311"/>
  <c r="J1311" s="1"/>
  <c r="L1311" s="1"/>
  <c r="I1363"/>
  <c r="I1369"/>
  <c r="J1369" s="1"/>
  <c r="I1376"/>
  <c r="J1376" s="1"/>
  <c r="L1376" s="1"/>
  <c r="I1282"/>
  <c r="J1282" s="1"/>
  <c r="L1282" s="1"/>
  <c r="H1287"/>
  <c r="J1287" s="1"/>
  <c r="L1287" s="1"/>
  <c r="J1304"/>
  <c r="L1304" s="1"/>
  <c r="I1308"/>
  <c r="J1308" s="1"/>
  <c r="L1308" s="1"/>
  <c r="J1321"/>
  <c r="L1321" s="1"/>
  <c r="J1350"/>
  <c r="H1363"/>
  <c r="G28" i="18"/>
  <c r="J41"/>
  <c r="L41" s="1"/>
  <c r="L42" s="1"/>
  <c r="H39"/>
  <c r="J39" s="1"/>
  <c r="H16"/>
  <c r="H4"/>
  <c r="J4" s="1"/>
  <c r="L4" s="1"/>
  <c r="G18"/>
  <c r="H24"/>
  <c r="H27"/>
  <c r="H35"/>
  <c r="J35" s="1"/>
  <c r="H44"/>
  <c r="H11"/>
  <c r="H14"/>
  <c r="H28"/>
  <c r="G45"/>
  <c r="H45" s="1"/>
  <c r="I45"/>
  <c r="J45" s="1"/>
  <c r="J44"/>
  <c r="L44" s="1"/>
  <c r="L45" s="1"/>
  <c r="I52"/>
  <c r="J52" s="1"/>
  <c r="J51"/>
  <c r="L51" s="1"/>
  <c r="L52" s="1"/>
  <c r="L39"/>
  <c r="I4"/>
  <c r="H9"/>
  <c r="H10"/>
  <c r="I11"/>
  <c r="J11" s="1"/>
  <c r="L11" s="1"/>
  <c r="H13"/>
  <c r="I14"/>
  <c r="J14" s="1"/>
  <c r="L14" s="1"/>
  <c r="H15"/>
  <c r="I16"/>
  <c r="J16" s="1"/>
  <c r="L16" s="1"/>
  <c r="I24"/>
  <c r="J24" s="1"/>
  <c r="L24" s="1"/>
  <c r="H26"/>
  <c r="I27"/>
  <c r="J27" s="1"/>
  <c r="L27" s="1"/>
  <c r="J42"/>
  <c r="J48"/>
  <c r="H51"/>
  <c r="G52"/>
  <c r="H52" s="1"/>
  <c r="I9"/>
  <c r="J9" s="1"/>
  <c r="L9" s="1"/>
  <c r="I10"/>
  <c r="J10" s="1"/>
  <c r="L10" s="1"/>
  <c r="I13"/>
  <c r="J13" s="1"/>
  <c r="L13" s="1"/>
  <c r="I15"/>
  <c r="J15" s="1"/>
  <c r="L15" s="1"/>
  <c r="I26"/>
  <c r="J26" s="1"/>
  <c r="L26" s="1"/>
  <c r="J10" i="17"/>
  <c r="L10" s="1"/>
  <c r="H20"/>
  <c r="P20"/>
  <c r="H21"/>
  <c r="H26"/>
  <c r="J45"/>
  <c r="L45" s="1"/>
  <c r="H50"/>
  <c r="H59"/>
  <c r="J59" s="1"/>
  <c r="H62"/>
  <c r="J62" s="1"/>
  <c r="H69"/>
  <c r="J73"/>
  <c r="H76"/>
  <c r="G92"/>
  <c r="H92" s="1"/>
  <c r="H101"/>
  <c r="H104"/>
  <c r="J108"/>
  <c r="L108" s="1"/>
  <c r="L109" s="1"/>
  <c r="H115"/>
  <c r="H30"/>
  <c r="N119"/>
  <c r="R31"/>
  <c r="R33" s="1"/>
  <c r="I92"/>
  <c r="J92" s="1"/>
  <c r="J91"/>
  <c r="L91" s="1"/>
  <c r="L92" s="1"/>
  <c r="Q30"/>
  <c r="L66"/>
  <c r="I15"/>
  <c r="P15"/>
  <c r="I22"/>
  <c r="J22" s="1"/>
  <c r="L22" s="1"/>
  <c r="P22"/>
  <c r="I25"/>
  <c r="J25" s="1"/>
  <c r="L25" s="1"/>
  <c r="P25"/>
  <c r="I27"/>
  <c r="J27" s="1"/>
  <c r="L27" s="1"/>
  <c r="P27"/>
  <c r="I29"/>
  <c r="J29" s="1"/>
  <c r="L29" s="1"/>
  <c r="R30"/>
  <c r="I36"/>
  <c r="J36" s="1"/>
  <c r="L36" s="1"/>
  <c r="P36"/>
  <c r="P40" s="1"/>
  <c r="I39"/>
  <c r="J39" s="1"/>
  <c r="L39" s="1"/>
  <c r="P39"/>
  <c r="G40"/>
  <c r="H40" s="1"/>
  <c r="I50"/>
  <c r="J50" s="1"/>
  <c r="L50" s="1"/>
  <c r="I81"/>
  <c r="L85"/>
  <c r="I97"/>
  <c r="J97" s="1"/>
  <c r="I104"/>
  <c r="J104" s="1"/>
  <c r="L104" s="1"/>
  <c r="D13"/>
  <c r="H15"/>
  <c r="J15" s="1"/>
  <c r="L15" s="1"/>
  <c r="I21"/>
  <c r="J21" s="1"/>
  <c r="L21" s="1"/>
  <c r="I24"/>
  <c r="J24" s="1"/>
  <c r="L24" s="1"/>
  <c r="I26"/>
  <c r="J26" s="1"/>
  <c r="L26" s="1"/>
  <c r="H29"/>
  <c r="N30"/>
  <c r="I38"/>
  <c r="J38" s="1"/>
  <c r="L38" s="1"/>
  <c r="J78"/>
  <c r="H81"/>
  <c r="J88"/>
  <c r="L88" s="1"/>
  <c r="L89" s="1"/>
  <c r="M68" i="16"/>
  <c r="M69" s="1"/>
  <c r="I164"/>
  <c r="I169"/>
  <c r="K169" s="1"/>
  <c r="M169" s="1"/>
  <c r="I174"/>
  <c r="I175"/>
  <c r="I176"/>
  <c r="H184"/>
  <c r="K186"/>
  <c r="M186" s="1"/>
  <c r="I192"/>
  <c r="I193"/>
  <c r="K200"/>
  <c r="M200" s="1"/>
  <c r="I223"/>
  <c r="I230"/>
  <c r="J235"/>
  <c r="K239"/>
  <c r="J245"/>
  <c r="K249"/>
  <c r="M249" s="1"/>
  <c r="K253"/>
  <c r="K257"/>
  <c r="J164"/>
  <c r="K164" s="1"/>
  <c r="M164" s="1"/>
  <c r="J192"/>
  <c r="K192" s="1"/>
  <c r="M192" s="1"/>
  <c r="M232"/>
  <c r="M233" s="1"/>
  <c r="E13"/>
  <c r="M49"/>
  <c r="M99"/>
  <c r="M66"/>
  <c r="D119"/>
  <c r="H13"/>
  <c r="O13" s="1"/>
  <c r="S14" s="1"/>
  <c r="S17" s="1"/>
  <c r="S18" s="1"/>
  <c r="J82"/>
  <c r="M81"/>
  <c r="M82" s="1"/>
  <c r="R30"/>
  <c r="J20"/>
  <c r="M20" s="1"/>
  <c r="J21"/>
  <c r="M21" s="1"/>
  <c r="Q21"/>
  <c r="J24"/>
  <c r="M24" s="1"/>
  <c r="Q24"/>
  <c r="J26"/>
  <c r="M26" s="1"/>
  <c r="Q26"/>
  <c r="J38"/>
  <c r="Q38"/>
  <c r="J47"/>
  <c r="M47" s="1"/>
  <c r="M85"/>
  <c r="J91"/>
  <c r="J97"/>
  <c r="J104"/>
  <c r="Q30"/>
  <c r="J22"/>
  <c r="M22" s="1"/>
  <c r="J25"/>
  <c r="M25" s="1"/>
  <c r="J27"/>
  <c r="M27" s="1"/>
  <c r="M32"/>
  <c r="J36"/>
  <c r="M36" s="1"/>
  <c r="Q36"/>
  <c r="Q40" s="1"/>
  <c r="J39"/>
  <c r="M39" s="1"/>
  <c r="J1223" i="1"/>
  <c r="L1223" s="1"/>
  <c r="L1224" s="1"/>
  <c r="I1227"/>
  <c r="J1227" s="1"/>
  <c r="J1226"/>
  <c r="L1226" s="1"/>
  <c r="L1227" s="1"/>
  <c r="I1237"/>
  <c r="J1237" s="1"/>
  <c r="J1236"/>
  <c r="L1236" s="1"/>
  <c r="L1237" s="1"/>
  <c r="I1169"/>
  <c r="J1169" s="1"/>
  <c r="L1169" s="1"/>
  <c r="I1170"/>
  <c r="J1170" s="1"/>
  <c r="L1170" s="1"/>
  <c r="I1171"/>
  <c r="J1171" s="1"/>
  <c r="L1171" s="1"/>
  <c r="I1160"/>
  <c r="J1177"/>
  <c r="L1177" s="1"/>
  <c r="I1181"/>
  <c r="J1181" s="1"/>
  <c r="L1181" s="1"/>
  <c r="H1183"/>
  <c r="H1184"/>
  <c r="J1194"/>
  <c r="L1194" s="1"/>
  <c r="H1214"/>
  <c r="H1218"/>
  <c r="H1221"/>
  <c r="H1226"/>
  <c r="G1227"/>
  <c r="H1227" s="1"/>
  <c r="J1230"/>
  <c r="J1233"/>
  <c r="L1233" s="1"/>
  <c r="L1234" s="1"/>
  <c r="J1244"/>
  <c r="L1244" s="1"/>
  <c r="I1155"/>
  <c r="H20" i="5"/>
  <c r="J20"/>
  <c r="H9"/>
  <c r="I1033" i="1"/>
  <c r="I1100"/>
  <c r="J1100" s="1"/>
  <c r="J1099"/>
  <c r="L1099" s="1"/>
  <c r="L1100" s="1"/>
  <c r="I1110"/>
  <c r="J1110" s="1"/>
  <c r="J1109"/>
  <c r="L1109" s="1"/>
  <c r="L1110" s="1"/>
  <c r="I1028"/>
  <c r="J1028" s="1"/>
  <c r="L1028" s="1"/>
  <c r="I1065"/>
  <c r="J1065" s="1"/>
  <c r="L1065" s="1"/>
  <c r="H1087"/>
  <c r="H1091"/>
  <c r="H1094"/>
  <c r="H1099"/>
  <c r="G1100"/>
  <c r="H1100" s="1"/>
  <c r="J1103"/>
  <c r="J1106"/>
  <c r="L1106" s="1"/>
  <c r="L1107" s="1"/>
  <c r="I1042"/>
  <c r="J1042" s="1"/>
  <c r="L1042" s="1"/>
  <c r="I1043"/>
  <c r="J1043" s="1"/>
  <c r="L1043" s="1"/>
  <c r="I1044"/>
  <c r="J1044" s="1"/>
  <c r="L1044" s="1"/>
  <c r="I1045"/>
  <c r="J1045" s="1"/>
  <c r="L1045" s="1"/>
  <c r="I1046"/>
  <c r="J1046" s="1"/>
  <c r="L1046" s="1"/>
  <c r="G1048"/>
  <c r="I1054"/>
  <c r="J1054" s="1"/>
  <c r="L1054" s="1"/>
  <c r="G1058"/>
  <c r="H1058" s="1"/>
  <c r="H1028"/>
  <c r="D1154" i="15"/>
  <c r="D1085"/>
  <c r="D1073"/>
  <c r="D1072"/>
  <c r="D1063"/>
  <c r="D1061"/>
  <c r="D1101"/>
  <c r="D1109"/>
  <c r="D1094"/>
  <c r="D1081"/>
  <c r="D1078"/>
  <c r="D1159"/>
  <c r="D1106"/>
  <c r="D1087"/>
  <c r="K1164"/>
  <c r="F1164"/>
  <c r="K1163"/>
  <c r="D1163"/>
  <c r="K1160"/>
  <c r="D1160"/>
  <c r="K1157"/>
  <c r="L1154"/>
  <c r="K1154"/>
  <c r="I1154"/>
  <c r="F1154"/>
  <c r="F1157" s="1"/>
  <c r="E1154"/>
  <c r="E1157" s="1"/>
  <c r="K1149"/>
  <c r="D1149"/>
  <c r="K1146"/>
  <c r="G1146"/>
  <c r="H1146" s="1"/>
  <c r="F1146"/>
  <c r="F1149" s="1"/>
  <c r="E1146"/>
  <c r="D1146"/>
  <c r="K1145"/>
  <c r="J1145"/>
  <c r="L1145" s="1"/>
  <c r="L1146" s="1"/>
  <c r="I1145"/>
  <c r="H1145"/>
  <c r="K1144"/>
  <c r="I1144"/>
  <c r="I1146" s="1"/>
  <c r="J1146" s="1"/>
  <c r="H1144"/>
  <c r="L1142"/>
  <c r="K1142"/>
  <c r="G1142"/>
  <c r="F1142"/>
  <c r="E1142"/>
  <c r="D1142"/>
  <c r="H1142" s="1"/>
  <c r="K1141"/>
  <c r="J1141"/>
  <c r="I1141"/>
  <c r="H1141"/>
  <c r="K1140"/>
  <c r="J1140"/>
  <c r="I1140"/>
  <c r="I1142" s="1"/>
  <c r="J1142" s="1"/>
  <c r="H1140"/>
  <c r="K1137"/>
  <c r="G1137"/>
  <c r="H1137" s="1"/>
  <c r="F1137"/>
  <c r="E1137"/>
  <c r="D1137"/>
  <c r="K1136"/>
  <c r="H1136"/>
  <c r="G1136"/>
  <c r="I1136" s="1"/>
  <c r="G1134"/>
  <c r="D1134"/>
  <c r="H1134" s="1"/>
  <c r="K1133"/>
  <c r="K1134" s="1"/>
  <c r="I1133"/>
  <c r="I1134" s="1"/>
  <c r="J1134" s="1"/>
  <c r="H1133"/>
  <c r="H1131"/>
  <c r="G1131"/>
  <c r="F1131"/>
  <c r="F1134" s="1"/>
  <c r="E1131"/>
  <c r="E1134" s="1"/>
  <c r="D1131"/>
  <c r="K1130"/>
  <c r="K1131" s="1"/>
  <c r="I1130"/>
  <c r="I1131" s="1"/>
  <c r="H1130"/>
  <c r="F1127"/>
  <c r="D1127"/>
  <c r="K1126"/>
  <c r="K1127" s="1"/>
  <c r="G1126"/>
  <c r="I1126" s="1"/>
  <c r="K1124"/>
  <c r="I1124"/>
  <c r="G1124"/>
  <c r="F1124"/>
  <c r="E1124"/>
  <c r="E1127" s="1"/>
  <c r="D1124"/>
  <c r="K1123"/>
  <c r="J1123"/>
  <c r="L1123" s="1"/>
  <c r="L1124" s="1"/>
  <c r="I1123"/>
  <c r="H1123"/>
  <c r="H1124" s="1"/>
  <c r="K1121"/>
  <c r="G1121"/>
  <c r="I1121" s="1"/>
  <c r="J1121" s="1"/>
  <c r="L1121" s="1"/>
  <c r="D1121"/>
  <c r="K1120"/>
  <c r="J1120"/>
  <c r="L1120" s="1"/>
  <c r="I1120"/>
  <c r="H1120"/>
  <c r="K1118"/>
  <c r="G1118"/>
  <c r="I1118" s="1"/>
  <c r="J1118" s="1"/>
  <c r="F1118"/>
  <c r="F1121" s="1"/>
  <c r="E1118"/>
  <c r="E1121" s="1"/>
  <c r="D1118"/>
  <c r="K1117"/>
  <c r="J1117"/>
  <c r="L1117" s="1"/>
  <c r="L1118" s="1"/>
  <c r="I1117"/>
  <c r="H1117"/>
  <c r="K1114"/>
  <c r="G1114"/>
  <c r="I1114" s="1"/>
  <c r="J1114" s="1"/>
  <c r="F1114"/>
  <c r="E1114"/>
  <c r="D1114"/>
  <c r="K1113"/>
  <c r="J1113"/>
  <c r="L1113" s="1"/>
  <c r="L1114" s="1"/>
  <c r="I1113"/>
  <c r="H1113"/>
  <c r="K1111"/>
  <c r="I1111"/>
  <c r="G1111"/>
  <c r="E1111"/>
  <c r="D1111"/>
  <c r="K1110"/>
  <c r="I1110"/>
  <c r="H1110"/>
  <c r="J1110" s="1"/>
  <c r="L1110" s="1"/>
  <c r="K1109"/>
  <c r="L1107"/>
  <c r="L1111" s="1"/>
  <c r="K1107"/>
  <c r="G1107"/>
  <c r="F1107"/>
  <c r="F1111" s="1"/>
  <c r="E1107"/>
  <c r="D1107"/>
  <c r="H1107" s="1"/>
  <c r="J1107" s="1"/>
  <c r="I1106"/>
  <c r="I1107" s="1"/>
  <c r="H1106"/>
  <c r="J1106" s="1"/>
  <c r="L1104"/>
  <c r="K1104"/>
  <c r="F1104"/>
  <c r="E1104"/>
  <c r="I1101"/>
  <c r="K1098"/>
  <c r="G1098"/>
  <c r="D1098"/>
  <c r="H1098" s="1"/>
  <c r="J1098" s="1"/>
  <c r="K1097"/>
  <c r="I1097"/>
  <c r="I1098" s="1"/>
  <c r="H1097"/>
  <c r="J1097" s="1"/>
  <c r="L1097" s="1"/>
  <c r="L1098" s="1"/>
  <c r="K1095"/>
  <c r="G1095"/>
  <c r="F1095"/>
  <c r="F1098" s="1"/>
  <c r="E1095"/>
  <c r="E1098" s="1"/>
  <c r="D1095"/>
  <c r="H1095" s="1"/>
  <c r="K1094"/>
  <c r="I1094"/>
  <c r="I1095" s="1"/>
  <c r="J1095" s="1"/>
  <c r="L1095" s="1"/>
  <c r="H1094"/>
  <c r="K1092"/>
  <c r="G1092"/>
  <c r="F1092"/>
  <c r="E1092"/>
  <c r="D1092"/>
  <c r="H1092" s="1"/>
  <c r="K1091"/>
  <c r="I1091"/>
  <c r="J1091" s="1"/>
  <c r="L1091" s="1"/>
  <c r="H1091"/>
  <c r="K1090"/>
  <c r="J1090"/>
  <c r="L1090" s="1"/>
  <c r="I1090"/>
  <c r="I1092" s="1"/>
  <c r="J1092" s="1"/>
  <c r="L1092" s="1"/>
  <c r="H1090"/>
  <c r="L1088"/>
  <c r="K1088"/>
  <c r="F1088"/>
  <c r="E1088"/>
  <c r="D1088"/>
  <c r="K1085"/>
  <c r="K1084"/>
  <c r="G1084"/>
  <c r="I1084" s="1"/>
  <c r="J1084" s="1"/>
  <c r="L1084" s="1"/>
  <c r="K1083"/>
  <c r="G1083"/>
  <c r="I1083" s="1"/>
  <c r="J1083" s="1"/>
  <c r="L1083" s="1"/>
  <c r="K1082"/>
  <c r="I1082"/>
  <c r="J1082" s="1"/>
  <c r="L1082" s="1"/>
  <c r="H1082"/>
  <c r="K1081"/>
  <c r="H1081"/>
  <c r="G1081"/>
  <c r="G1085" s="1"/>
  <c r="H1085" s="1"/>
  <c r="K1080"/>
  <c r="J1080"/>
  <c r="L1080" s="1"/>
  <c r="I1080"/>
  <c r="H1080"/>
  <c r="K1079"/>
  <c r="I1079"/>
  <c r="J1079" s="1"/>
  <c r="L1079" s="1"/>
  <c r="H1079"/>
  <c r="K1078"/>
  <c r="J1078"/>
  <c r="L1078" s="1"/>
  <c r="I1078"/>
  <c r="H1078"/>
  <c r="K1077"/>
  <c r="I1077"/>
  <c r="H1077"/>
  <c r="K1075"/>
  <c r="F1075"/>
  <c r="E1075"/>
  <c r="K1074"/>
  <c r="I1074"/>
  <c r="J1074" s="1"/>
  <c r="L1074" s="1"/>
  <c r="H1074"/>
  <c r="K1073"/>
  <c r="H1073"/>
  <c r="G1073"/>
  <c r="I1073" s="1"/>
  <c r="K1072"/>
  <c r="H1072"/>
  <c r="G1072"/>
  <c r="I1072" s="1"/>
  <c r="K1071"/>
  <c r="H1071"/>
  <c r="G1071"/>
  <c r="I1071" s="1"/>
  <c r="J1071" s="1"/>
  <c r="L1071" s="1"/>
  <c r="K1070"/>
  <c r="H1070"/>
  <c r="G1070"/>
  <c r="I1070" s="1"/>
  <c r="J1070" s="1"/>
  <c r="L1070" s="1"/>
  <c r="K1069"/>
  <c r="H1069"/>
  <c r="G1069"/>
  <c r="I1069" s="1"/>
  <c r="J1069" s="1"/>
  <c r="L1069" s="1"/>
  <c r="K1068"/>
  <c r="J1068"/>
  <c r="L1068" s="1"/>
  <c r="I1068"/>
  <c r="H1068"/>
  <c r="K1067"/>
  <c r="G1067"/>
  <c r="I1067" s="1"/>
  <c r="J1067" s="1"/>
  <c r="L1067" s="1"/>
  <c r="K1066"/>
  <c r="G1066"/>
  <c r="I1066" s="1"/>
  <c r="J1066" s="1"/>
  <c r="L1066" s="1"/>
  <c r="K1065"/>
  <c r="G1065"/>
  <c r="I1065" s="1"/>
  <c r="J1065" s="1"/>
  <c r="L1065" s="1"/>
  <c r="K1064"/>
  <c r="I1064"/>
  <c r="J1064" s="1"/>
  <c r="L1064" s="1"/>
  <c r="H1064"/>
  <c r="K1063"/>
  <c r="J1063"/>
  <c r="L1063" s="1"/>
  <c r="I1063"/>
  <c r="H1063"/>
  <c r="K1062"/>
  <c r="I1062"/>
  <c r="J1062" s="1"/>
  <c r="L1062" s="1"/>
  <c r="H1062"/>
  <c r="K1061"/>
  <c r="J1061"/>
  <c r="L1061" s="1"/>
  <c r="I1061"/>
  <c r="H1061"/>
  <c r="K1060"/>
  <c r="G1060"/>
  <c r="I1060" s="1"/>
  <c r="I1075" s="1"/>
  <c r="K1058"/>
  <c r="K1057"/>
  <c r="J1057"/>
  <c r="L1057" s="1"/>
  <c r="I1057"/>
  <c r="H1057"/>
  <c r="K1056"/>
  <c r="I1056"/>
  <c r="J1056" s="1"/>
  <c r="L1056" s="1"/>
  <c r="H1056"/>
  <c r="K1055"/>
  <c r="H1055"/>
  <c r="G1055"/>
  <c r="E1055"/>
  <c r="E1164" s="1"/>
  <c r="D1055"/>
  <c r="K1036"/>
  <c r="F1036"/>
  <c r="K1035"/>
  <c r="D1035"/>
  <c r="K1032"/>
  <c r="D1032"/>
  <c r="K1029"/>
  <c r="D1029"/>
  <c r="L1026"/>
  <c r="K1026"/>
  <c r="I1026"/>
  <c r="F1026"/>
  <c r="F1029" s="1"/>
  <c r="E1026"/>
  <c r="E1029" s="1"/>
  <c r="D1026"/>
  <c r="K1021"/>
  <c r="D1021"/>
  <c r="K1018"/>
  <c r="G1018"/>
  <c r="H1018" s="1"/>
  <c r="F1018"/>
  <c r="F1021" s="1"/>
  <c r="E1018"/>
  <c r="D1018"/>
  <c r="K1017"/>
  <c r="J1017"/>
  <c r="L1017" s="1"/>
  <c r="L1018" s="1"/>
  <c r="I1017"/>
  <c r="H1017"/>
  <c r="K1016"/>
  <c r="I1016"/>
  <c r="I1018" s="1"/>
  <c r="J1018" s="1"/>
  <c r="H1016"/>
  <c r="L1014"/>
  <c r="K1014"/>
  <c r="G1014"/>
  <c r="F1014"/>
  <c r="E1014"/>
  <c r="D1014"/>
  <c r="H1014" s="1"/>
  <c r="K1013"/>
  <c r="J1013"/>
  <c r="I1013"/>
  <c r="H1013"/>
  <c r="K1012"/>
  <c r="J1012"/>
  <c r="I1012"/>
  <c r="I1014" s="1"/>
  <c r="J1014" s="1"/>
  <c r="H1012"/>
  <c r="K1009"/>
  <c r="G1009"/>
  <c r="H1009" s="1"/>
  <c r="F1009"/>
  <c r="E1009"/>
  <c r="D1009"/>
  <c r="K1008"/>
  <c r="H1008"/>
  <c r="G1008"/>
  <c r="I1008" s="1"/>
  <c r="G1006"/>
  <c r="D1006"/>
  <c r="H1006" s="1"/>
  <c r="K1005"/>
  <c r="K1006" s="1"/>
  <c r="I1005"/>
  <c r="I1006" s="1"/>
  <c r="J1006" s="1"/>
  <c r="H1005"/>
  <c r="H1003"/>
  <c r="G1003"/>
  <c r="F1003"/>
  <c r="F1006" s="1"/>
  <c r="E1003"/>
  <c r="E1006" s="1"/>
  <c r="D1003"/>
  <c r="K1002"/>
  <c r="K1003" s="1"/>
  <c r="I1002"/>
  <c r="I1003" s="1"/>
  <c r="H1002"/>
  <c r="F999"/>
  <c r="D999"/>
  <c r="K998"/>
  <c r="K999" s="1"/>
  <c r="G998"/>
  <c r="I998" s="1"/>
  <c r="K996"/>
  <c r="I996"/>
  <c r="G996"/>
  <c r="F996"/>
  <c r="E996"/>
  <c r="E999" s="1"/>
  <c r="D996"/>
  <c r="K995"/>
  <c r="J995"/>
  <c r="L995" s="1"/>
  <c r="L996" s="1"/>
  <c r="I995"/>
  <c r="H995"/>
  <c r="H996" s="1"/>
  <c r="K993"/>
  <c r="G993"/>
  <c r="I993" s="1"/>
  <c r="J993" s="1"/>
  <c r="L993" s="1"/>
  <c r="D993"/>
  <c r="K992"/>
  <c r="J992"/>
  <c r="L992" s="1"/>
  <c r="I992"/>
  <c r="H992"/>
  <c r="K990"/>
  <c r="G990"/>
  <c r="I990" s="1"/>
  <c r="J990" s="1"/>
  <c r="F990"/>
  <c r="F993" s="1"/>
  <c r="E990"/>
  <c r="E993" s="1"/>
  <c r="D990"/>
  <c r="K989"/>
  <c r="J989"/>
  <c r="L989" s="1"/>
  <c r="L990" s="1"/>
  <c r="I989"/>
  <c r="H989"/>
  <c r="K986"/>
  <c r="G986"/>
  <c r="I986" s="1"/>
  <c r="J986" s="1"/>
  <c r="F986"/>
  <c r="E986"/>
  <c r="D986"/>
  <c r="K985"/>
  <c r="J985"/>
  <c r="L985" s="1"/>
  <c r="L986" s="1"/>
  <c r="I985"/>
  <c r="H985"/>
  <c r="K983"/>
  <c r="I983"/>
  <c r="G983"/>
  <c r="H983" s="1"/>
  <c r="J983" s="1"/>
  <c r="E983"/>
  <c r="D983"/>
  <c r="K982"/>
  <c r="I982"/>
  <c r="H982"/>
  <c r="J982" s="1"/>
  <c r="L982" s="1"/>
  <c r="K981"/>
  <c r="L979"/>
  <c r="L983" s="1"/>
  <c r="K979"/>
  <c r="F979"/>
  <c r="F983" s="1"/>
  <c r="E979"/>
  <c r="D979"/>
  <c r="L976"/>
  <c r="K976"/>
  <c r="F976"/>
  <c r="E976"/>
  <c r="D976"/>
  <c r="I973"/>
  <c r="K970"/>
  <c r="I970"/>
  <c r="G970"/>
  <c r="H970" s="1"/>
  <c r="J970" s="1"/>
  <c r="D970"/>
  <c r="K969"/>
  <c r="I969"/>
  <c r="H969"/>
  <c r="J969" s="1"/>
  <c r="L969" s="1"/>
  <c r="L970" s="1"/>
  <c r="K967"/>
  <c r="G967"/>
  <c r="H967" s="1"/>
  <c r="F967"/>
  <c r="F970" s="1"/>
  <c r="E967"/>
  <c r="E970" s="1"/>
  <c r="D967"/>
  <c r="N966"/>
  <c r="K966"/>
  <c r="I966"/>
  <c r="I967" s="1"/>
  <c r="J967" s="1"/>
  <c r="L967" s="1"/>
  <c r="H966"/>
  <c r="K964"/>
  <c r="G964"/>
  <c r="F964"/>
  <c r="E964"/>
  <c r="D964"/>
  <c r="H964" s="1"/>
  <c r="K963"/>
  <c r="I963"/>
  <c r="J963" s="1"/>
  <c r="L963" s="1"/>
  <c r="H963"/>
  <c r="K962"/>
  <c r="J962"/>
  <c r="L962" s="1"/>
  <c r="I962"/>
  <c r="I964" s="1"/>
  <c r="J964" s="1"/>
  <c r="L964" s="1"/>
  <c r="H962"/>
  <c r="L960"/>
  <c r="K960"/>
  <c r="F960"/>
  <c r="E960"/>
  <c r="D960"/>
  <c r="K957"/>
  <c r="D957"/>
  <c r="K956"/>
  <c r="G956"/>
  <c r="I956" s="1"/>
  <c r="J956" s="1"/>
  <c r="L956" s="1"/>
  <c r="K955"/>
  <c r="G955"/>
  <c r="I955" s="1"/>
  <c r="J955" s="1"/>
  <c r="L955" s="1"/>
  <c r="K954"/>
  <c r="I954"/>
  <c r="J954" s="1"/>
  <c r="L954" s="1"/>
  <c r="H954"/>
  <c r="K953"/>
  <c r="H953"/>
  <c r="G953"/>
  <c r="G957" s="1"/>
  <c r="H957" s="1"/>
  <c r="K952"/>
  <c r="J952"/>
  <c r="L952" s="1"/>
  <c r="I952"/>
  <c r="H952"/>
  <c r="K951"/>
  <c r="I951"/>
  <c r="J951" s="1"/>
  <c r="L951" s="1"/>
  <c r="H951"/>
  <c r="K950"/>
  <c r="J950"/>
  <c r="L950" s="1"/>
  <c r="I950"/>
  <c r="H950"/>
  <c r="K949"/>
  <c r="I949"/>
  <c r="H949"/>
  <c r="K947"/>
  <c r="F947"/>
  <c r="E947"/>
  <c r="D947"/>
  <c r="D930" s="1"/>
  <c r="D1036" s="1"/>
  <c r="K946"/>
  <c r="I946"/>
  <c r="J946" s="1"/>
  <c r="L946" s="1"/>
  <c r="H946"/>
  <c r="K945"/>
  <c r="G945"/>
  <c r="H945" s="1"/>
  <c r="K944"/>
  <c r="H944"/>
  <c r="G944"/>
  <c r="N944" s="1"/>
  <c r="K943"/>
  <c r="H943"/>
  <c r="G943"/>
  <c r="I943" s="1"/>
  <c r="J943" s="1"/>
  <c r="L943" s="1"/>
  <c r="K942"/>
  <c r="H942"/>
  <c r="G942"/>
  <c r="I942" s="1"/>
  <c r="J942" s="1"/>
  <c r="L942" s="1"/>
  <c r="K941"/>
  <c r="H941"/>
  <c r="G941"/>
  <c r="I941" s="1"/>
  <c r="J941" s="1"/>
  <c r="L941" s="1"/>
  <c r="K940"/>
  <c r="J940"/>
  <c r="L940" s="1"/>
  <c r="I940"/>
  <c r="H940"/>
  <c r="K939"/>
  <c r="G939"/>
  <c r="H939" s="1"/>
  <c r="K938"/>
  <c r="I938"/>
  <c r="J938" s="1"/>
  <c r="L938" s="1"/>
  <c r="G938"/>
  <c r="H938" s="1"/>
  <c r="K937"/>
  <c r="G937"/>
  <c r="H937" s="1"/>
  <c r="K936"/>
  <c r="I936"/>
  <c r="J936" s="1"/>
  <c r="L936" s="1"/>
  <c r="H936"/>
  <c r="K935"/>
  <c r="J935"/>
  <c r="L935" s="1"/>
  <c r="I935"/>
  <c r="H935"/>
  <c r="K934"/>
  <c r="I934"/>
  <c r="J934" s="1"/>
  <c r="L934" s="1"/>
  <c r="H934"/>
  <c r="K933"/>
  <c r="J933"/>
  <c r="L933" s="1"/>
  <c r="I933"/>
  <c r="H933"/>
  <c r="K932"/>
  <c r="I932"/>
  <c r="G932"/>
  <c r="K930"/>
  <c r="K929"/>
  <c r="J929"/>
  <c r="L929" s="1"/>
  <c r="I929"/>
  <c r="H929"/>
  <c r="K928"/>
  <c r="I928"/>
  <c r="J928" s="1"/>
  <c r="L928" s="1"/>
  <c r="H928"/>
  <c r="K927"/>
  <c r="H927"/>
  <c r="G927"/>
  <c r="E927"/>
  <c r="E1036" s="1"/>
  <c r="D927"/>
  <c r="K878"/>
  <c r="F878"/>
  <c r="K877"/>
  <c r="D877"/>
  <c r="K874"/>
  <c r="D874"/>
  <c r="K871"/>
  <c r="D871"/>
  <c r="L868"/>
  <c r="K868"/>
  <c r="I868"/>
  <c r="F868"/>
  <c r="F871" s="1"/>
  <c r="E868"/>
  <c r="E871" s="1"/>
  <c r="D868"/>
  <c r="K863"/>
  <c r="F863"/>
  <c r="D863"/>
  <c r="L860"/>
  <c r="K860"/>
  <c r="G860"/>
  <c r="F860"/>
  <c r="E860"/>
  <c r="D860"/>
  <c r="H860" s="1"/>
  <c r="K859"/>
  <c r="I859"/>
  <c r="J859" s="1"/>
  <c r="L859" s="1"/>
  <c r="H859"/>
  <c r="K858"/>
  <c r="J858"/>
  <c r="L858" s="1"/>
  <c r="I858"/>
  <c r="I860" s="1"/>
  <c r="J860" s="1"/>
  <c r="H858"/>
  <c r="L856"/>
  <c r="K856"/>
  <c r="G856"/>
  <c r="H856" s="1"/>
  <c r="F856"/>
  <c r="E856"/>
  <c r="D856"/>
  <c r="K855"/>
  <c r="I855"/>
  <c r="J855" s="1"/>
  <c r="H855"/>
  <c r="K854"/>
  <c r="K851"/>
  <c r="I851"/>
  <c r="J851" s="1"/>
  <c r="G851"/>
  <c r="H851" s="1"/>
  <c r="F851"/>
  <c r="E851"/>
  <c r="D851"/>
  <c r="K850"/>
  <c r="H850"/>
  <c r="G850"/>
  <c r="I850" s="1"/>
  <c r="J850" s="1"/>
  <c r="L850" s="1"/>
  <c r="L851" s="1"/>
  <c r="H848"/>
  <c r="G848"/>
  <c r="F848"/>
  <c r="D848"/>
  <c r="K847"/>
  <c r="K848" s="1"/>
  <c r="I847"/>
  <c r="H847"/>
  <c r="H845"/>
  <c r="G845"/>
  <c r="F845"/>
  <c r="E845"/>
  <c r="E848" s="1"/>
  <c r="D845"/>
  <c r="K844"/>
  <c r="K845" s="1"/>
  <c r="I844"/>
  <c r="H844"/>
  <c r="G841"/>
  <c r="D841"/>
  <c r="H841" s="1"/>
  <c r="K840"/>
  <c r="K841" s="1"/>
  <c r="I840"/>
  <c r="H840"/>
  <c r="H838"/>
  <c r="G838"/>
  <c r="F838"/>
  <c r="F841" s="1"/>
  <c r="E838"/>
  <c r="E841" s="1"/>
  <c r="D838"/>
  <c r="K837"/>
  <c r="K838" s="1"/>
  <c r="I837"/>
  <c r="H837"/>
  <c r="K835"/>
  <c r="D835"/>
  <c r="K834"/>
  <c r="K832"/>
  <c r="G832"/>
  <c r="H832" s="1"/>
  <c r="F832"/>
  <c r="F835" s="1"/>
  <c r="E832"/>
  <c r="E835" s="1"/>
  <c r="D832"/>
  <c r="K831"/>
  <c r="J831"/>
  <c r="L831" s="1"/>
  <c r="L832" s="1"/>
  <c r="I831"/>
  <c r="H831"/>
  <c r="G828"/>
  <c r="I828" s="1"/>
  <c r="J828" s="1"/>
  <c r="F828"/>
  <c r="E828"/>
  <c r="D828"/>
  <c r="H828" s="1"/>
  <c r="K827"/>
  <c r="K828" s="1"/>
  <c r="I827"/>
  <c r="J827" s="1"/>
  <c r="L827" s="1"/>
  <c r="L828" s="1"/>
  <c r="H827"/>
  <c r="K825"/>
  <c r="G825"/>
  <c r="D825"/>
  <c r="H825" s="1"/>
  <c r="J825" s="1"/>
  <c r="K824"/>
  <c r="I824"/>
  <c r="I825" s="1"/>
  <c r="H824"/>
  <c r="J824" s="1"/>
  <c r="K823"/>
  <c r="L821"/>
  <c r="L825" s="1"/>
  <c r="K821"/>
  <c r="F821"/>
  <c r="F825" s="1"/>
  <c r="E821"/>
  <c r="E825" s="1"/>
  <c r="D821"/>
  <c r="L818"/>
  <c r="K818"/>
  <c r="F818"/>
  <c r="E818"/>
  <c r="D818"/>
  <c r="I815"/>
  <c r="K812"/>
  <c r="I812"/>
  <c r="G812"/>
  <c r="H812" s="1"/>
  <c r="J812" s="1"/>
  <c r="D812"/>
  <c r="K811"/>
  <c r="I811"/>
  <c r="H811"/>
  <c r="J811" s="1"/>
  <c r="L811" s="1"/>
  <c r="L809"/>
  <c r="L812" s="1"/>
  <c r="K809"/>
  <c r="G809"/>
  <c r="H809" s="1"/>
  <c r="F809"/>
  <c r="F812" s="1"/>
  <c r="E809"/>
  <c r="E812" s="1"/>
  <c r="D809"/>
  <c r="K808"/>
  <c r="I808"/>
  <c r="I809" s="1"/>
  <c r="J809" s="1"/>
  <c r="H808"/>
  <c r="L806"/>
  <c r="K806"/>
  <c r="F806"/>
  <c r="E806"/>
  <c r="D806"/>
  <c r="K805"/>
  <c r="K804"/>
  <c r="L802"/>
  <c r="K802"/>
  <c r="F802"/>
  <c r="E802"/>
  <c r="D802"/>
  <c r="K799"/>
  <c r="D799"/>
  <c r="K798"/>
  <c r="G798"/>
  <c r="I798" s="1"/>
  <c r="J798" s="1"/>
  <c r="L798" s="1"/>
  <c r="K797"/>
  <c r="G797"/>
  <c r="I797" s="1"/>
  <c r="J797" s="1"/>
  <c r="L797" s="1"/>
  <c r="K796"/>
  <c r="I796"/>
  <c r="J796" s="1"/>
  <c r="L796" s="1"/>
  <c r="H796"/>
  <c r="K795"/>
  <c r="H795"/>
  <c r="G795"/>
  <c r="G799" s="1"/>
  <c r="H799" s="1"/>
  <c r="K794"/>
  <c r="J794"/>
  <c r="L794" s="1"/>
  <c r="I794"/>
  <c r="H794"/>
  <c r="K793"/>
  <c r="I793"/>
  <c r="J793" s="1"/>
  <c r="L793" s="1"/>
  <c r="H793"/>
  <c r="K792"/>
  <c r="I792"/>
  <c r="K791"/>
  <c r="K789"/>
  <c r="F789"/>
  <c r="E789"/>
  <c r="D789"/>
  <c r="K788"/>
  <c r="J788"/>
  <c r="L788" s="1"/>
  <c r="I788"/>
  <c r="H788"/>
  <c r="K787"/>
  <c r="G787"/>
  <c r="I787" s="1"/>
  <c r="J787" s="1"/>
  <c r="L787" s="1"/>
  <c r="K786"/>
  <c r="G786"/>
  <c r="I786" s="1"/>
  <c r="J786" s="1"/>
  <c r="L786" s="1"/>
  <c r="K785"/>
  <c r="G785"/>
  <c r="I785" s="1"/>
  <c r="J785" s="1"/>
  <c r="L785" s="1"/>
  <c r="K784"/>
  <c r="G784"/>
  <c r="I784" s="1"/>
  <c r="J784" s="1"/>
  <c r="L784" s="1"/>
  <c r="K783"/>
  <c r="G783"/>
  <c r="G789" s="1"/>
  <c r="K782"/>
  <c r="I782"/>
  <c r="J782" s="1"/>
  <c r="L782" s="1"/>
  <c r="H782"/>
  <c r="K781"/>
  <c r="H781"/>
  <c r="G781"/>
  <c r="I781" s="1"/>
  <c r="J781" s="1"/>
  <c r="L781" s="1"/>
  <c r="K780"/>
  <c r="H780"/>
  <c r="G780"/>
  <c r="I780" s="1"/>
  <c r="J780" s="1"/>
  <c r="L780" s="1"/>
  <c r="K779"/>
  <c r="H779"/>
  <c r="G779"/>
  <c r="I779" s="1"/>
  <c r="J779" s="1"/>
  <c r="L779" s="1"/>
  <c r="K778"/>
  <c r="J778"/>
  <c r="L778" s="1"/>
  <c r="I778"/>
  <c r="H778"/>
  <c r="K777"/>
  <c r="I777"/>
  <c r="J777" s="1"/>
  <c r="L777" s="1"/>
  <c r="H777"/>
  <c r="K776"/>
  <c r="J776"/>
  <c r="L776" s="1"/>
  <c r="I776"/>
  <c r="H776"/>
  <c r="K775"/>
  <c r="I775"/>
  <c r="J775" s="1"/>
  <c r="L775" s="1"/>
  <c r="H775"/>
  <c r="K774"/>
  <c r="H774"/>
  <c r="J774" s="1"/>
  <c r="L774" s="1"/>
  <c r="G774"/>
  <c r="I774" s="1"/>
  <c r="K772"/>
  <c r="D772"/>
  <c r="D878" s="1"/>
  <c r="K771"/>
  <c r="I771"/>
  <c r="J771" s="1"/>
  <c r="L771" s="1"/>
  <c r="H771"/>
  <c r="K770"/>
  <c r="J770"/>
  <c r="L770" s="1"/>
  <c r="I770"/>
  <c r="H770"/>
  <c r="K769"/>
  <c r="G769"/>
  <c r="H769" s="1"/>
  <c r="E769"/>
  <c r="E878" s="1"/>
  <c r="D769"/>
  <c r="K720"/>
  <c r="F720"/>
  <c r="E720"/>
  <c r="K719"/>
  <c r="D719"/>
  <c r="K716"/>
  <c r="D716"/>
  <c r="K713"/>
  <c r="D713"/>
  <c r="L710"/>
  <c r="K710"/>
  <c r="I710"/>
  <c r="F710"/>
  <c r="F713" s="1"/>
  <c r="E710"/>
  <c r="E713" s="1"/>
  <c r="D710"/>
  <c r="K705"/>
  <c r="D705"/>
  <c r="K702"/>
  <c r="G702"/>
  <c r="H702" s="1"/>
  <c r="F702"/>
  <c r="F705" s="1"/>
  <c r="E702"/>
  <c r="D702"/>
  <c r="K701"/>
  <c r="J701"/>
  <c r="L701" s="1"/>
  <c r="L702" s="1"/>
  <c r="I701"/>
  <c r="H701"/>
  <c r="K700"/>
  <c r="I700"/>
  <c r="I702" s="1"/>
  <c r="J702" s="1"/>
  <c r="H700"/>
  <c r="L698"/>
  <c r="K698"/>
  <c r="G698"/>
  <c r="F698"/>
  <c r="E698"/>
  <c r="D698"/>
  <c r="H698" s="1"/>
  <c r="K697"/>
  <c r="J697"/>
  <c r="I697"/>
  <c r="I698" s="1"/>
  <c r="J698" s="1"/>
  <c r="H697"/>
  <c r="K696"/>
  <c r="F693"/>
  <c r="E693"/>
  <c r="D693"/>
  <c r="K692"/>
  <c r="K693" s="1"/>
  <c r="G692"/>
  <c r="I692" s="1"/>
  <c r="K690"/>
  <c r="I690"/>
  <c r="J690" s="1"/>
  <c r="G690"/>
  <c r="H690" s="1"/>
  <c r="D690"/>
  <c r="K689"/>
  <c r="J689"/>
  <c r="L689" s="1"/>
  <c r="L690" s="1"/>
  <c r="I689"/>
  <c r="H689"/>
  <c r="K687"/>
  <c r="I687"/>
  <c r="G687"/>
  <c r="F687"/>
  <c r="F690" s="1"/>
  <c r="E687"/>
  <c r="E690" s="1"/>
  <c r="D687"/>
  <c r="K686"/>
  <c r="J686"/>
  <c r="L686" s="1"/>
  <c r="I686"/>
  <c r="H686"/>
  <c r="H687" s="1"/>
  <c r="K683"/>
  <c r="I683"/>
  <c r="J683" s="1"/>
  <c r="G683"/>
  <c r="H683" s="1"/>
  <c r="D683"/>
  <c r="K682"/>
  <c r="J682"/>
  <c r="L682" s="1"/>
  <c r="L683" s="1"/>
  <c r="I682"/>
  <c r="H682"/>
  <c r="K680"/>
  <c r="I680"/>
  <c r="G680"/>
  <c r="F680"/>
  <c r="F683" s="1"/>
  <c r="E680"/>
  <c r="E683" s="1"/>
  <c r="D680"/>
  <c r="K679"/>
  <c r="J679"/>
  <c r="L679" s="1"/>
  <c r="L680" s="1"/>
  <c r="I679"/>
  <c r="H679"/>
  <c r="H680" s="1"/>
  <c r="K677"/>
  <c r="D677"/>
  <c r="K676"/>
  <c r="G674"/>
  <c r="I674" s="1"/>
  <c r="J674" s="1"/>
  <c r="F674"/>
  <c r="F677" s="1"/>
  <c r="E674"/>
  <c r="E677" s="1"/>
  <c r="D674"/>
  <c r="H674" s="1"/>
  <c r="K673"/>
  <c r="K674" s="1"/>
  <c r="I673"/>
  <c r="J673" s="1"/>
  <c r="L673" s="1"/>
  <c r="L674" s="1"/>
  <c r="H673"/>
  <c r="G670"/>
  <c r="I670" s="1"/>
  <c r="J670" s="1"/>
  <c r="F670"/>
  <c r="E670"/>
  <c r="D670"/>
  <c r="H670" s="1"/>
  <c r="K669"/>
  <c r="K670" s="1"/>
  <c r="I669"/>
  <c r="J669" s="1"/>
  <c r="L669" s="1"/>
  <c r="L670" s="1"/>
  <c r="H669"/>
  <c r="K667"/>
  <c r="G667"/>
  <c r="D667"/>
  <c r="H667" s="1"/>
  <c r="J667" s="1"/>
  <c r="K666"/>
  <c r="I666"/>
  <c r="I667" s="1"/>
  <c r="H666"/>
  <c r="J666" s="1"/>
  <c r="K665"/>
  <c r="L663"/>
  <c r="L667" s="1"/>
  <c r="K663"/>
  <c r="F663"/>
  <c r="F667" s="1"/>
  <c r="E663"/>
  <c r="E667" s="1"/>
  <c r="D663"/>
  <c r="L660"/>
  <c r="K660"/>
  <c r="F660"/>
  <c r="E660"/>
  <c r="D660"/>
  <c r="I657"/>
  <c r="K654"/>
  <c r="I654"/>
  <c r="G654"/>
  <c r="H654" s="1"/>
  <c r="J654" s="1"/>
  <c r="D654"/>
  <c r="K653"/>
  <c r="I653"/>
  <c r="H653"/>
  <c r="J653" s="1"/>
  <c r="L653" s="1"/>
  <c r="L651"/>
  <c r="L654" s="1"/>
  <c r="K651"/>
  <c r="G651"/>
  <c r="H651" s="1"/>
  <c r="F651"/>
  <c r="F654" s="1"/>
  <c r="E651"/>
  <c r="E654" s="1"/>
  <c r="D651"/>
  <c r="K650"/>
  <c r="I650"/>
  <c r="I651" s="1"/>
  <c r="J651" s="1"/>
  <c r="H650"/>
  <c r="L648"/>
  <c r="K648"/>
  <c r="F648"/>
  <c r="E648"/>
  <c r="D648"/>
  <c r="K647"/>
  <c r="K646"/>
  <c r="L644"/>
  <c r="K644"/>
  <c r="F644"/>
  <c r="E644"/>
  <c r="D644"/>
  <c r="K641"/>
  <c r="D641"/>
  <c r="K640"/>
  <c r="G640"/>
  <c r="I640" s="1"/>
  <c r="J640" s="1"/>
  <c r="L640" s="1"/>
  <c r="K639"/>
  <c r="G639"/>
  <c r="I639" s="1"/>
  <c r="J639" s="1"/>
  <c r="L639" s="1"/>
  <c r="K638"/>
  <c r="I638"/>
  <c r="J638" s="1"/>
  <c r="L638" s="1"/>
  <c r="H638"/>
  <c r="K637"/>
  <c r="H637"/>
  <c r="G637"/>
  <c r="G641" s="1"/>
  <c r="H641" s="1"/>
  <c r="K636"/>
  <c r="J636"/>
  <c r="L636" s="1"/>
  <c r="I636"/>
  <c r="H636"/>
  <c r="K635"/>
  <c r="I635"/>
  <c r="J635" s="1"/>
  <c r="L635" s="1"/>
  <c r="H635"/>
  <c r="K634"/>
  <c r="I634"/>
  <c r="K633"/>
  <c r="K631"/>
  <c r="F631"/>
  <c r="E631"/>
  <c r="D631"/>
  <c r="K630"/>
  <c r="J630"/>
  <c r="L630" s="1"/>
  <c r="I630"/>
  <c r="H630"/>
  <c r="K629"/>
  <c r="G629"/>
  <c r="I629" s="1"/>
  <c r="J629" s="1"/>
  <c r="L629" s="1"/>
  <c r="K628"/>
  <c r="G628"/>
  <c r="I628" s="1"/>
  <c r="J628" s="1"/>
  <c r="L628" s="1"/>
  <c r="K627"/>
  <c r="G627"/>
  <c r="I627" s="1"/>
  <c r="J627" s="1"/>
  <c r="L627" s="1"/>
  <c r="K626"/>
  <c r="G626"/>
  <c r="I626" s="1"/>
  <c r="J626" s="1"/>
  <c r="L626" s="1"/>
  <c r="K625"/>
  <c r="G625"/>
  <c r="G631" s="1"/>
  <c r="K624"/>
  <c r="I624"/>
  <c r="J624" s="1"/>
  <c r="L624" s="1"/>
  <c r="H624"/>
  <c r="K623"/>
  <c r="H623"/>
  <c r="G623"/>
  <c r="I623" s="1"/>
  <c r="J623" s="1"/>
  <c r="L623" s="1"/>
  <c r="K622"/>
  <c r="H622"/>
  <c r="G622"/>
  <c r="I622" s="1"/>
  <c r="J622" s="1"/>
  <c r="L622" s="1"/>
  <c r="K621"/>
  <c r="H621"/>
  <c r="G621"/>
  <c r="I621" s="1"/>
  <c r="J621" s="1"/>
  <c r="L621" s="1"/>
  <c r="K620"/>
  <c r="J620"/>
  <c r="L620" s="1"/>
  <c r="I620"/>
  <c r="H620"/>
  <c r="K619"/>
  <c r="I619"/>
  <c r="J619" s="1"/>
  <c r="L619" s="1"/>
  <c r="H619"/>
  <c r="K618"/>
  <c r="J618"/>
  <c r="L618" s="1"/>
  <c r="I618"/>
  <c r="H618"/>
  <c r="K617"/>
  <c r="I617"/>
  <c r="J617" s="1"/>
  <c r="L617" s="1"/>
  <c r="H617"/>
  <c r="K616"/>
  <c r="H616"/>
  <c r="J616" s="1"/>
  <c r="L616" s="1"/>
  <c r="G616"/>
  <c r="I616" s="1"/>
  <c r="K614"/>
  <c r="D614"/>
  <c r="D720" s="1"/>
  <c r="K613"/>
  <c r="I613"/>
  <c r="J613" s="1"/>
  <c r="L613" s="1"/>
  <c r="H613"/>
  <c r="K612"/>
  <c r="J612"/>
  <c r="L612" s="1"/>
  <c r="I612"/>
  <c r="H612"/>
  <c r="K611"/>
  <c r="G611"/>
  <c r="E611"/>
  <c r="D611"/>
  <c r="K562"/>
  <c r="F562"/>
  <c r="E562"/>
  <c r="K561"/>
  <c r="D561"/>
  <c r="K558"/>
  <c r="D558"/>
  <c r="K555"/>
  <c r="D555"/>
  <c r="L552"/>
  <c r="K552"/>
  <c r="I552"/>
  <c r="F552"/>
  <c r="F555" s="1"/>
  <c r="E552"/>
  <c r="E555" s="1"/>
  <c r="D552"/>
  <c r="K547"/>
  <c r="D547"/>
  <c r="K544"/>
  <c r="G544"/>
  <c r="H544" s="1"/>
  <c r="F544"/>
  <c r="F547" s="1"/>
  <c r="E544"/>
  <c r="D544"/>
  <c r="I543"/>
  <c r="J543" s="1"/>
  <c r="L543" s="1"/>
  <c r="L544" s="1"/>
  <c r="H543"/>
  <c r="I542"/>
  <c r="I544" s="1"/>
  <c r="J544" s="1"/>
  <c r="H542"/>
  <c r="L540"/>
  <c r="K540"/>
  <c r="F540"/>
  <c r="E540"/>
  <c r="D540"/>
  <c r="K539"/>
  <c r="K538"/>
  <c r="K535"/>
  <c r="F535"/>
  <c r="E535"/>
  <c r="D535"/>
  <c r="G534"/>
  <c r="G535" s="1"/>
  <c r="H535" s="1"/>
  <c r="K532"/>
  <c r="I532"/>
  <c r="J532" s="1"/>
  <c r="G532"/>
  <c r="H532" s="1"/>
  <c r="D532"/>
  <c r="L531"/>
  <c r="L532" s="1"/>
  <c r="J531"/>
  <c r="H531"/>
  <c r="K529"/>
  <c r="G529"/>
  <c r="F529"/>
  <c r="F532" s="1"/>
  <c r="E529"/>
  <c r="E532" s="1"/>
  <c r="D529"/>
  <c r="I528"/>
  <c r="I529" s="1"/>
  <c r="H528"/>
  <c r="H529" s="1"/>
  <c r="K525"/>
  <c r="G525"/>
  <c r="F525"/>
  <c r="D525"/>
  <c r="H525" s="1"/>
  <c r="J524"/>
  <c r="L524" s="1"/>
  <c r="L525" s="1"/>
  <c r="I524"/>
  <c r="I525" s="1"/>
  <c r="J525" s="1"/>
  <c r="H524"/>
  <c r="K522"/>
  <c r="G522"/>
  <c r="F522"/>
  <c r="E522"/>
  <c r="E525" s="1"/>
  <c r="D522"/>
  <c r="I521"/>
  <c r="I522" s="1"/>
  <c r="H521"/>
  <c r="H522" s="1"/>
  <c r="K519"/>
  <c r="D519"/>
  <c r="K518"/>
  <c r="K516"/>
  <c r="G516"/>
  <c r="I516" s="1"/>
  <c r="J516" s="1"/>
  <c r="F516"/>
  <c r="F519" s="1"/>
  <c r="E516"/>
  <c r="E519" s="1"/>
  <c r="D516"/>
  <c r="I515"/>
  <c r="J515" s="1"/>
  <c r="L515" s="1"/>
  <c r="L516" s="1"/>
  <c r="H515"/>
  <c r="K512"/>
  <c r="G512"/>
  <c r="I512" s="1"/>
  <c r="J512" s="1"/>
  <c r="F512"/>
  <c r="E512"/>
  <c r="D512"/>
  <c r="H512" s="1"/>
  <c r="J511"/>
  <c r="L511" s="1"/>
  <c r="L512" s="1"/>
  <c r="I511"/>
  <c r="H511"/>
  <c r="K509"/>
  <c r="E509"/>
  <c r="D509"/>
  <c r="K508"/>
  <c r="K507"/>
  <c r="L505"/>
  <c r="L509" s="1"/>
  <c r="K505"/>
  <c r="F505"/>
  <c r="F509" s="1"/>
  <c r="E505"/>
  <c r="D505"/>
  <c r="L502"/>
  <c r="K502"/>
  <c r="F502"/>
  <c r="E502"/>
  <c r="D502"/>
  <c r="I499"/>
  <c r="K496"/>
  <c r="I496"/>
  <c r="G496"/>
  <c r="H496" s="1"/>
  <c r="J496" s="1"/>
  <c r="D496"/>
  <c r="K495"/>
  <c r="I495"/>
  <c r="H495"/>
  <c r="J495" s="1"/>
  <c r="L495" s="1"/>
  <c r="L493"/>
  <c r="L496" s="1"/>
  <c r="K493"/>
  <c r="F493"/>
  <c r="F496" s="1"/>
  <c r="E493"/>
  <c r="E496" s="1"/>
  <c r="D493"/>
  <c r="K492"/>
  <c r="L490"/>
  <c r="K490"/>
  <c r="F490"/>
  <c r="E490"/>
  <c r="D490"/>
  <c r="K489"/>
  <c r="K488"/>
  <c r="L486"/>
  <c r="K486"/>
  <c r="F486"/>
  <c r="E486"/>
  <c r="D486"/>
  <c r="K483"/>
  <c r="D483"/>
  <c r="K482"/>
  <c r="H482"/>
  <c r="G482"/>
  <c r="I482" s="1"/>
  <c r="J482" s="1"/>
  <c r="L482" s="1"/>
  <c r="K481"/>
  <c r="H481"/>
  <c r="G481"/>
  <c r="I481" s="1"/>
  <c r="J481" s="1"/>
  <c r="L481" s="1"/>
  <c r="K480"/>
  <c r="J480"/>
  <c r="L480" s="1"/>
  <c r="I480"/>
  <c r="H480"/>
  <c r="K479"/>
  <c r="G479"/>
  <c r="G483" s="1"/>
  <c r="H483" s="1"/>
  <c r="K478"/>
  <c r="I478"/>
  <c r="J478" s="1"/>
  <c r="L478" s="1"/>
  <c r="H478"/>
  <c r="K477"/>
  <c r="J477"/>
  <c r="L477" s="1"/>
  <c r="I477"/>
  <c r="H477"/>
  <c r="K476"/>
  <c r="I476"/>
  <c r="K475"/>
  <c r="K473"/>
  <c r="F473"/>
  <c r="E473"/>
  <c r="D473"/>
  <c r="K472"/>
  <c r="I472"/>
  <c r="J472" s="1"/>
  <c r="L472" s="1"/>
  <c r="H472"/>
  <c r="K471"/>
  <c r="H471"/>
  <c r="G471"/>
  <c r="I471" s="1"/>
  <c r="J471" s="1"/>
  <c r="L471" s="1"/>
  <c r="K470"/>
  <c r="H470"/>
  <c r="G470"/>
  <c r="I470" s="1"/>
  <c r="J470" s="1"/>
  <c r="L470" s="1"/>
  <c r="K469"/>
  <c r="H469"/>
  <c r="G469"/>
  <c r="I469" s="1"/>
  <c r="J469" s="1"/>
  <c r="L469" s="1"/>
  <c r="K468"/>
  <c r="H468"/>
  <c r="G468"/>
  <c r="I468" s="1"/>
  <c r="J468" s="1"/>
  <c r="L468" s="1"/>
  <c r="K467"/>
  <c r="H467"/>
  <c r="G467"/>
  <c r="I467" s="1"/>
  <c r="J467" s="1"/>
  <c r="L467" s="1"/>
  <c r="K466"/>
  <c r="J466"/>
  <c r="L466" s="1"/>
  <c r="I466"/>
  <c r="H466"/>
  <c r="K465"/>
  <c r="G465"/>
  <c r="I465" s="1"/>
  <c r="J465" s="1"/>
  <c r="L465" s="1"/>
  <c r="K464"/>
  <c r="G464"/>
  <c r="I464" s="1"/>
  <c r="J464" s="1"/>
  <c r="L464" s="1"/>
  <c r="K463"/>
  <c r="G463"/>
  <c r="I463" s="1"/>
  <c r="J463" s="1"/>
  <c r="L463" s="1"/>
  <c r="K462"/>
  <c r="I462"/>
  <c r="J462" s="1"/>
  <c r="L462" s="1"/>
  <c r="H462"/>
  <c r="K461"/>
  <c r="J461"/>
  <c r="L461" s="1"/>
  <c r="I461"/>
  <c r="H461"/>
  <c r="K460"/>
  <c r="I460"/>
  <c r="J460" s="1"/>
  <c r="L460" s="1"/>
  <c r="H460"/>
  <c r="K459"/>
  <c r="J459"/>
  <c r="L459" s="1"/>
  <c r="I459"/>
  <c r="H459"/>
  <c r="K458"/>
  <c r="G458"/>
  <c r="I458" s="1"/>
  <c r="K456"/>
  <c r="D456"/>
  <c r="D562" s="1"/>
  <c r="K455"/>
  <c r="I455"/>
  <c r="J455" s="1"/>
  <c r="L455" s="1"/>
  <c r="H455"/>
  <c r="K454"/>
  <c r="J454"/>
  <c r="L454" s="1"/>
  <c r="I454"/>
  <c r="H454"/>
  <c r="K453"/>
  <c r="G453"/>
  <c r="E453"/>
  <c r="D453"/>
  <c r="K402"/>
  <c r="F402"/>
  <c r="K401"/>
  <c r="D401"/>
  <c r="K398"/>
  <c r="D398"/>
  <c r="K395"/>
  <c r="E395"/>
  <c r="D395"/>
  <c r="L392"/>
  <c r="K392"/>
  <c r="I392"/>
  <c r="F392"/>
  <c r="F395" s="1"/>
  <c r="E392"/>
  <c r="D392"/>
  <c r="O390"/>
  <c r="O392" s="1"/>
  <c r="N389"/>
  <c r="N391" s="1"/>
  <c r="P388"/>
  <c r="P387"/>
  <c r="K387"/>
  <c r="D387"/>
  <c r="P386"/>
  <c r="P385"/>
  <c r="P384"/>
  <c r="K384"/>
  <c r="G384"/>
  <c r="F384"/>
  <c r="F387" s="1"/>
  <c r="E384"/>
  <c r="D384"/>
  <c r="H384" s="1"/>
  <c r="P383"/>
  <c r="K383"/>
  <c r="J383"/>
  <c r="L383" s="1"/>
  <c r="I383"/>
  <c r="H383"/>
  <c r="K382"/>
  <c r="I382"/>
  <c r="I384" s="1"/>
  <c r="J384" s="1"/>
  <c r="L384" s="1"/>
  <c r="H382"/>
  <c r="L380"/>
  <c r="K380"/>
  <c r="F380"/>
  <c r="E380"/>
  <c r="D380"/>
  <c r="K375"/>
  <c r="G375"/>
  <c r="H375" s="1"/>
  <c r="F375"/>
  <c r="E375"/>
  <c r="D375"/>
  <c r="K374"/>
  <c r="H374"/>
  <c r="G374"/>
  <c r="I374" s="1"/>
  <c r="I372"/>
  <c r="G372"/>
  <c r="D372"/>
  <c r="H372" s="1"/>
  <c r="K371"/>
  <c r="K372" s="1"/>
  <c r="J371"/>
  <c r="L371" s="1"/>
  <c r="L372" s="1"/>
  <c r="H371"/>
  <c r="F369"/>
  <c r="F372" s="1"/>
  <c r="E369"/>
  <c r="E372" s="1"/>
  <c r="D369"/>
  <c r="K368"/>
  <c r="K369" s="1"/>
  <c r="G368"/>
  <c r="I368" s="1"/>
  <c r="K365"/>
  <c r="I365"/>
  <c r="J365" s="1"/>
  <c r="G365"/>
  <c r="H365" s="1"/>
  <c r="D365"/>
  <c r="K364"/>
  <c r="J364"/>
  <c r="L364" s="1"/>
  <c r="L365" s="1"/>
  <c r="I364"/>
  <c r="H364"/>
  <c r="K362"/>
  <c r="I362"/>
  <c r="G362"/>
  <c r="F362"/>
  <c r="F365" s="1"/>
  <c r="E362"/>
  <c r="E365" s="1"/>
  <c r="D362"/>
  <c r="K361"/>
  <c r="J361"/>
  <c r="J362" s="1"/>
  <c r="I361"/>
  <c r="H361"/>
  <c r="H362" s="1"/>
  <c r="K359"/>
  <c r="D359"/>
  <c r="I356"/>
  <c r="J356" s="1"/>
  <c r="F356"/>
  <c r="F359" s="1"/>
  <c r="E356"/>
  <c r="E359" s="1"/>
  <c r="D356"/>
  <c r="H356" s="1"/>
  <c r="K355"/>
  <c r="K356" s="1"/>
  <c r="I355"/>
  <c r="J355" s="1"/>
  <c r="L355" s="1"/>
  <c r="L356" s="1"/>
  <c r="H355"/>
  <c r="G352"/>
  <c r="I352" s="1"/>
  <c r="J352" s="1"/>
  <c r="F352"/>
  <c r="E352"/>
  <c r="D352"/>
  <c r="H352" s="1"/>
  <c r="K351"/>
  <c r="K352" s="1"/>
  <c r="I351"/>
  <c r="J351" s="1"/>
  <c r="L351" s="1"/>
  <c r="L352" s="1"/>
  <c r="H351"/>
  <c r="L349"/>
  <c r="K349"/>
  <c r="F349"/>
  <c r="D349"/>
  <c r="L345"/>
  <c r="K345"/>
  <c r="F345"/>
  <c r="E345"/>
  <c r="E349" s="1"/>
  <c r="D345"/>
  <c r="L342"/>
  <c r="K342"/>
  <c r="F342"/>
  <c r="E342"/>
  <c r="D342"/>
  <c r="I339"/>
  <c r="L336"/>
  <c r="K336"/>
  <c r="F336"/>
  <c r="D336"/>
  <c r="L333"/>
  <c r="K333"/>
  <c r="F333"/>
  <c r="E333"/>
  <c r="E336" s="1"/>
  <c r="D333"/>
  <c r="L330"/>
  <c r="K330"/>
  <c r="F330"/>
  <c r="E330"/>
  <c r="D330"/>
  <c r="L326"/>
  <c r="K326"/>
  <c r="F326"/>
  <c r="E326"/>
  <c r="D326"/>
  <c r="K323"/>
  <c r="D323"/>
  <c r="K322"/>
  <c r="G322"/>
  <c r="H322" s="1"/>
  <c r="K321"/>
  <c r="G321"/>
  <c r="G323" s="1"/>
  <c r="H323" s="1"/>
  <c r="K320"/>
  <c r="I320"/>
  <c r="J320" s="1"/>
  <c r="L320" s="1"/>
  <c r="H320"/>
  <c r="K319"/>
  <c r="J319"/>
  <c r="L319" s="1"/>
  <c r="I319"/>
  <c r="H319"/>
  <c r="J318"/>
  <c r="I318"/>
  <c r="L318" s="1"/>
  <c r="H318"/>
  <c r="I317"/>
  <c r="I316"/>
  <c r="K315"/>
  <c r="K313"/>
  <c r="F313"/>
  <c r="E313"/>
  <c r="D313"/>
  <c r="K312"/>
  <c r="I312"/>
  <c r="J312" s="1"/>
  <c r="L312" s="1"/>
  <c r="H312"/>
  <c r="K311"/>
  <c r="H311"/>
  <c r="G311"/>
  <c r="I311" s="1"/>
  <c r="J311" s="1"/>
  <c r="L311" s="1"/>
  <c r="K310"/>
  <c r="H310"/>
  <c r="G310"/>
  <c r="I310" s="1"/>
  <c r="J310" s="1"/>
  <c r="L310" s="1"/>
  <c r="K309"/>
  <c r="H309"/>
  <c r="G309"/>
  <c r="I309" s="1"/>
  <c r="J309" s="1"/>
  <c r="L309" s="1"/>
  <c r="K308"/>
  <c r="H308"/>
  <c r="G308"/>
  <c r="I308" s="1"/>
  <c r="J308" s="1"/>
  <c r="L308" s="1"/>
  <c r="K307"/>
  <c r="H307"/>
  <c r="G307"/>
  <c r="I307" s="1"/>
  <c r="J307" s="1"/>
  <c r="L307" s="1"/>
  <c r="K306"/>
  <c r="J306"/>
  <c r="L306" s="1"/>
  <c r="I306"/>
  <c r="H306"/>
  <c r="K305"/>
  <c r="G305"/>
  <c r="I305" s="1"/>
  <c r="J305" s="1"/>
  <c r="L305" s="1"/>
  <c r="K304"/>
  <c r="G304"/>
  <c r="H304" s="1"/>
  <c r="K303"/>
  <c r="G303"/>
  <c r="I303" s="1"/>
  <c r="J303" s="1"/>
  <c r="L303" s="1"/>
  <c r="K302"/>
  <c r="I302"/>
  <c r="J302" s="1"/>
  <c r="L302" s="1"/>
  <c r="H302"/>
  <c r="K301"/>
  <c r="H301"/>
  <c r="G301"/>
  <c r="I301" s="1"/>
  <c r="J301" s="1"/>
  <c r="L301" s="1"/>
  <c r="K300"/>
  <c r="H300"/>
  <c r="G300"/>
  <c r="I300" s="1"/>
  <c r="J300" s="1"/>
  <c r="L300" s="1"/>
  <c r="K299"/>
  <c r="H299"/>
  <c r="G299"/>
  <c r="I299" s="1"/>
  <c r="J299" s="1"/>
  <c r="L299" s="1"/>
  <c r="K298"/>
  <c r="H298"/>
  <c r="J298" s="1"/>
  <c r="L298" s="1"/>
  <c r="G298"/>
  <c r="G313" s="1"/>
  <c r="K296"/>
  <c r="D296"/>
  <c r="D402" s="1"/>
  <c r="K295"/>
  <c r="K294"/>
  <c r="J294"/>
  <c r="L294" s="1"/>
  <c r="I294"/>
  <c r="H294"/>
  <c r="K293"/>
  <c r="I293"/>
  <c r="J293" s="1"/>
  <c r="L293" s="1"/>
  <c r="E293"/>
  <c r="E402" s="1"/>
  <c r="D293"/>
  <c r="H293" s="1"/>
  <c r="K245"/>
  <c r="F245"/>
  <c r="K244"/>
  <c r="D244"/>
  <c r="K241"/>
  <c r="D241"/>
  <c r="K238"/>
  <c r="D238"/>
  <c r="L235"/>
  <c r="K235"/>
  <c r="I235"/>
  <c r="F235"/>
  <c r="F238" s="1"/>
  <c r="E235"/>
  <c r="E238" s="1"/>
  <c r="D235"/>
  <c r="K230"/>
  <c r="D230"/>
  <c r="K227"/>
  <c r="F227"/>
  <c r="F230" s="1"/>
  <c r="E227"/>
  <c r="D227"/>
  <c r="K226"/>
  <c r="I226"/>
  <c r="I227" s="1"/>
  <c r="K225"/>
  <c r="L223"/>
  <c r="K223"/>
  <c r="F223"/>
  <c r="E223"/>
  <c r="D223"/>
  <c r="K218"/>
  <c r="G218"/>
  <c r="H218" s="1"/>
  <c r="F218"/>
  <c r="E218"/>
  <c r="D218"/>
  <c r="K217"/>
  <c r="H217"/>
  <c r="G217"/>
  <c r="I217" s="1"/>
  <c r="I215"/>
  <c r="G215"/>
  <c r="D215"/>
  <c r="J215" s="1"/>
  <c r="O214"/>
  <c r="K214"/>
  <c r="K215" s="1"/>
  <c r="J214"/>
  <c r="L214" s="1"/>
  <c r="L215" s="1"/>
  <c r="H214"/>
  <c r="L212"/>
  <c r="F212"/>
  <c r="F215" s="1"/>
  <c r="E212"/>
  <c r="E215" s="1"/>
  <c r="D212"/>
  <c r="K211"/>
  <c r="K212" s="1"/>
  <c r="L208"/>
  <c r="F208"/>
  <c r="D208"/>
  <c r="K207"/>
  <c r="K208" s="1"/>
  <c r="F205"/>
  <c r="E205"/>
  <c r="E208" s="1"/>
  <c r="D205"/>
  <c r="K204"/>
  <c r="K205" s="1"/>
  <c r="K202"/>
  <c r="D202"/>
  <c r="I199"/>
  <c r="J199" s="1"/>
  <c r="F199"/>
  <c r="F202" s="1"/>
  <c r="E199"/>
  <c r="E202" s="1"/>
  <c r="D199"/>
  <c r="H199" s="1"/>
  <c r="K198"/>
  <c r="K199" s="1"/>
  <c r="I198"/>
  <c r="J198" s="1"/>
  <c r="L198" s="1"/>
  <c r="L199" s="1"/>
  <c r="H198"/>
  <c r="G195"/>
  <c r="I195" s="1"/>
  <c r="J195" s="1"/>
  <c r="F195"/>
  <c r="E195"/>
  <c r="D195"/>
  <c r="H195" s="1"/>
  <c r="K194"/>
  <c r="K195" s="1"/>
  <c r="I194"/>
  <c r="J194" s="1"/>
  <c r="L194" s="1"/>
  <c r="L195" s="1"/>
  <c r="H194"/>
  <c r="L192"/>
  <c r="K192"/>
  <c r="F192"/>
  <c r="D192"/>
  <c r="L188"/>
  <c r="K188"/>
  <c r="F188"/>
  <c r="E188"/>
  <c r="E192" s="1"/>
  <c r="D188"/>
  <c r="L185"/>
  <c r="K185"/>
  <c r="F185"/>
  <c r="E185"/>
  <c r="D185"/>
  <c r="I182"/>
  <c r="L179"/>
  <c r="K179"/>
  <c r="F179"/>
  <c r="D179"/>
  <c r="L176"/>
  <c r="K176"/>
  <c r="F176"/>
  <c r="E176"/>
  <c r="E179" s="1"/>
  <c r="D176"/>
  <c r="L173"/>
  <c r="K173"/>
  <c r="F173"/>
  <c r="E173"/>
  <c r="D173"/>
  <c r="L169"/>
  <c r="K169"/>
  <c r="F169"/>
  <c r="E169"/>
  <c r="D169"/>
  <c r="K166"/>
  <c r="D166"/>
  <c r="K165"/>
  <c r="G165"/>
  <c r="H165" s="1"/>
  <c r="K164"/>
  <c r="G164"/>
  <c r="G166" s="1"/>
  <c r="H166" s="1"/>
  <c r="K163"/>
  <c r="J163"/>
  <c r="L163" s="1"/>
  <c r="I163"/>
  <c r="H163"/>
  <c r="O162"/>
  <c r="O163" s="1"/>
  <c r="K162"/>
  <c r="J162"/>
  <c r="L162" s="1"/>
  <c r="I162"/>
  <c r="H162"/>
  <c r="I161"/>
  <c r="I160"/>
  <c r="I159"/>
  <c r="K158"/>
  <c r="K156"/>
  <c r="G156"/>
  <c r="H156" s="1"/>
  <c r="F156"/>
  <c r="E156"/>
  <c r="D156"/>
  <c r="K155"/>
  <c r="J155"/>
  <c r="L155" s="1"/>
  <c r="I155"/>
  <c r="H155"/>
  <c r="K154"/>
  <c r="I154"/>
  <c r="J154" s="1"/>
  <c r="L154" s="1"/>
  <c r="H154"/>
  <c r="K153"/>
  <c r="J153"/>
  <c r="L153" s="1"/>
  <c r="I153"/>
  <c r="H153"/>
  <c r="K152"/>
  <c r="I152"/>
  <c r="J152" s="1"/>
  <c r="L152" s="1"/>
  <c r="H152"/>
  <c r="K151"/>
  <c r="J151"/>
  <c r="L151" s="1"/>
  <c r="I151"/>
  <c r="H151"/>
  <c r="K150"/>
  <c r="I150"/>
  <c r="J150" s="1"/>
  <c r="L150" s="1"/>
  <c r="H150"/>
  <c r="K149"/>
  <c r="J149"/>
  <c r="L149" s="1"/>
  <c r="I149"/>
  <c r="H149"/>
  <c r="K148"/>
  <c r="I148"/>
  <c r="J148" s="1"/>
  <c r="L148" s="1"/>
  <c r="H148"/>
  <c r="K147"/>
  <c r="J147"/>
  <c r="L147" s="1"/>
  <c r="I147"/>
  <c r="H147"/>
  <c r="K146"/>
  <c r="I146"/>
  <c r="J146" s="1"/>
  <c r="L146" s="1"/>
  <c r="H146"/>
  <c r="K145"/>
  <c r="J145"/>
  <c r="L145" s="1"/>
  <c r="I145"/>
  <c r="H145"/>
  <c r="K144"/>
  <c r="J144"/>
  <c r="L144" s="1"/>
  <c r="H144"/>
  <c r="K143"/>
  <c r="J143"/>
  <c r="L143" s="1"/>
  <c r="H143"/>
  <c r="K142"/>
  <c r="J142"/>
  <c r="L142" s="1"/>
  <c r="H142"/>
  <c r="K141"/>
  <c r="I141"/>
  <c r="I156" s="1"/>
  <c r="J156" s="1"/>
  <c r="L156" s="1"/>
  <c r="H141"/>
  <c r="J141" s="1"/>
  <c r="L141" s="1"/>
  <c r="K139"/>
  <c r="D139"/>
  <c r="D245" s="1"/>
  <c r="K138"/>
  <c r="K137"/>
  <c r="H137"/>
  <c r="G137"/>
  <c r="I137" s="1"/>
  <c r="J137" s="1"/>
  <c r="L137" s="1"/>
  <c r="K136"/>
  <c r="H136"/>
  <c r="G136"/>
  <c r="E136"/>
  <c r="E245" s="1"/>
  <c r="D136"/>
  <c r="K119"/>
  <c r="G119"/>
  <c r="F119"/>
  <c r="D118"/>
  <c r="D115"/>
  <c r="D112"/>
  <c r="L109"/>
  <c r="K109"/>
  <c r="K112" s="1"/>
  <c r="I109"/>
  <c r="F109"/>
  <c r="F112" s="1"/>
  <c r="E109"/>
  <c r="E112" s="1"/>
  <c r="D109"/>
  <c r="D104"/>
  <c r="F101"/>
  <c r="F104" s="1"/>
  <c r="E101"/>
  <c r="D101"/>
  <c r="I100"/>
  <c r="I101" s="1"/>
  <c r="L97"/>
  <c r="K97"/>
  <c r="F97"/>
  <c r="E97"/>
  <c r="D97"/>
  <c r="L92"/>
  <c r="K92"/>
  <c r="F92"/>
  <c r="E92"/>
  <c r="D92"/>
  <c r="L89"/>
  <c r="F89"/>
  <c r="D89"/>
  <c r="L86"/>
  <c r="K86"/>
  <c r="K89" s="1"/>
  <c r="F86"/>
  <c r="E86"/>
  <c r="E89" s="1"/>
  <c r="D86"/>
  <c r="L82"/>
  <c r="K82"/>
  <c r="F82"/>
  <c r="D82"/>
  <c r="F79"/>
  <c r="E79"/>
  <c r="E82" s="1"/>
  <c r="D79"/>
  <c r="F76"/>
  <c r="D76"/>
  <c r="F73"/>
  <c r="E73"/>
  <c r="E76" s="1"/>
  <c r="D73"/>
  <c r="F69"/>
  <c r="E69"/>
  <c r="D69"/>
  <c r="K66"/>
  <c r="E66"/>
  <c r="D66"/>
  <c r="L62"/>
  <c r="L66" s="1"/>
  <c r="K62"/>
  <c r="F62"/>
  <c r="F66" s="1"/>
  <c r="E62"/>
  <c r="D62"/>
  <c r="L59"/>
  <c r="K59"/>
  <c r="F59"/>
  <c r="E59"/>
  <c r="D59"/>
  <c r="I56"/>
  <c r="K53"/>
  <c r="E53"/>
  <c r="D53"/>
  <c r="L50"/>
  <c r="L53" s="1"/>
  <c r="K50"/>
  <c r="F50"/>
  <c r="F53" s="1"/>
  <c r="E50"/>
  <c r="D50"/>
  <c r="L47"/>
  <c r="K47"/>
  <c r="F47"/>
  <c r="E47"/>
  <c r="D47"/>
  <c r="L43"/>
  <c r="K43"/>
  <c r="F43"/>
  <c r="E43"/>
  <c r="D43"/>
  <c r="D13" s="1"/>
  <c r="D40"/>
  <c r="I35"/>
  <c r="I34"/>
  <c r="I33"/>
  <c r="L30"/>
  <c r="K30"/>
  <c r="G30"/>
  <c r="F30"/>
  <c r="E30"/>
  <c r="D30"/>
  <c r="J29"/>
  <c r="H29"/>
  <c r="J28"/>
  <c r="H28"/>
  <c r="J27"/>
  <c r="I27"/>
  <c r="H27"/>
  <c r="J26"/>
  <c r="H26"/>
  <c r="I25"/>
  <c r="J25" s="1"/>
  <c r="H25"/>
  <c r="J24"/>
  <c r="H24"/>
  <c r="J23"/>
  <c r="I23"/>
  <c r="H23"/>
  <c r="J22"/>
  <c r="H22"/>
  <c r="I21"/>
  <c r="J21" s="1"/>
  <c r="H21"/>
  <c r="J20"/>
  <c r="I20"/>
  <c r="H20"/>
  <c r="I19"/>
  <c r="J19" s="1"/>
  <c r="H19"/>
  <c r="J18"/>
  <c r="H18"/>
  <c r="J17"/>
  <c r="H17"/>
  <c r="J16"/>
  <c r="H16"/>
  <c r="H15"/>
  <c r="H30" s="1"/>
  <c r="J11"/>
  <c r="I11"/>
  <c r="H11"/>
  <c r="I10"/>
  <c r="I119" s="1"/>
  <c r="E10"/>
  <c r="E119" s="1"/>
  <c r="D10"/>
  <c r="H10" s="1"/>
  <c r="I952" i="1"/>
  <c r="I953" s="1"/>
  <c r="H952"/>
  <c r="J952" s="1"/>
  <c r="G953"/>
  <c r="F1010"/>
  <c r="K1009"/>
  <c r="D1009"/>
  <c r="N1009" s="1"/>
  <c r="K1006"/>
  <c r="D1006"/>
  <c r="N1006" s="1"/>
  <c r="K1003"/>
  <c r="D1003"/>
  <c r="L1000"/>
  <c r="K1000"/>
  <c r="I1000"/>
  <c r="F1000"/>
  <c r="F1003" s="1"/>
  <c r="E1000"/>
  <c r="E1003" s="1"/>
  <c r="D1000"/>
  <c r="K995"/>
  <c r="D995"/>
  <c r="G992"/>
  <c r="F992"/>
  <c r="F995" s="1"/>
  <c r="E992"/>
  <c r="D992"/>
  <c r="I991"/>
  <c r="J991" s="1"/>
  <c r="L991" s="1"/>
  <c r="L992" s="1"/>
  <c r="H991"/>
  <c r="I990"/>
  <c r="I992" s="1"/>
  <c r="H990"/>
  <c r="G988"/>
  <c r="F988"/>
  <c r="E988"/>
  <c r="D988"/>
  <c r="I987"/>
  <c r="J987" s="1"/>
  <c r="L987" s="1"/>
  <c r="L988" s="1"/>
  <c r="H987"/>
  <c r="I986"/>
  <c r="I988" s="1"/>
  <c r="H986"/>
  <c r="K983"/>
  <c r="G983"/>
  <c r="F983"/>
  <c r="E983"/>
  <c r="D983"/>
  <c r="H982"/>
  <c r="I982"/>
  <c r="G980"/>
  <c r="D980"/>
  <c r="K980"/>
  <c r="I979"/>
  <c r="I980" s="1"/>
  <c r="J980" s="1"/>
  <c r="H979"/>
  <c r="G977"/>
  <c r="F977"/>
  <c r="F980" s="1"/>
  <c r="E977"/>
  <c r="E980" s="1"/>
  <c r="D977"/>
  <c r="K977"/>
  <c r="I976"/>
  <c r="I977" s="1"/>
  <c r="H976"/>
  <c r="H977" s="1"/>
  <c r="D973"/>
  <c r="K973"/>
  <c r="G972"/>
  <c r="I972" s="1"/>
  <c r="K970"/>
  <c r="G970"/>
  <c r="F970"/>
  <c r="F973" s="1"/>
  <c r="E970"/>
  <c r="E973" s="1"/>
  <c r="D970"/>
  <c r="I969"/>
  <c r="I970" s="1"/>
  <c r="H969"/>
  <c r="H970" s="1"/>
  <c r="G967"/>
  <c r="I967" s="1"/>
  <c r="D967"/>
  <c r="I966"/>
  <c r="J966" s="1"/>
  <c r="L966" s="1"/>
  <c r="H966"/>
  <c r="K964"/>
  <c r="G964"/>
  <c r="I964" s="1"/>
  <c r="F964"/>
  <c r="F967" s="1"/>
  <c r="E964"/>
  <c r="E967" s="1"/>
  <c r="D964"/>
  <c r="I963"/>
  <c r="J963" s="1"/>
  <c r="L963" s="1"/>
  <c r="L964" s="1"/>
  <c r="H963"/>
  <c r="K960"/>
  <c r="G960"/>
  <c r="I960" s="1"/>
  <c r="F960"/>
  <c r="E960"/>
  <c r="D960"/>
  <c r="I959"/>
  <c r="J959" s="1"/>
  <c r="L959" s="1"/>
  <c r="L960" s="1"/>
  <c r="H959"/>
  <c r="G957"/>
  <c r="D957"/>
  <c r="I956"/>
  <c r="I957" s="1"/>
  <c r="H956"/>
  <c r="J956" s="1"/>
  <c r="L956" s="1"/>
  <c r="L953"/>
  <c r="F953"/>
  <c r="F957" s="1"/>
  <c r="E953"/>
  <c r="E957" s="1"/>
  <c r="D953"/>
  <c r="L950"/>
  <c r="K950"/>
  <c r="F950"/>
  <c r="E950"/>
  <c r="D950"/>
  <c r="I947"/>
  <c r="G944"/>
  <c r="D944"/>
  <c r="I943"/>
  <c r="I944" s="1"/>
  <c r="H943"/>
  <c r="J943" s="1"/>
  <c r="L943" s="1"/>
  <c r="L944" s="1"/>
  <c r="G941"/>
  <c r="F941"/>
  <c r="F944" s="1"/>
  <c r="E941"/>
  <c r="E944" s="1"/>
  <c r="D941"/>
  <c r="I940"/>
  <c r="I941" s="1"/>
  <c r="H940"/>
  <c r="G938"/>
  <c r="F938"/>
  <c r="E938"/>
  <c r="D938"/>
  <c r="I937"/>
  <c r="J937" s="1"/>
  <c r="L937" s="1"/>
  <c r="H937"/>
  <c r="I936"/>
  <c r="I938" s="1"/>
  <c r="H936"/>
  <c r="L934"/>
  <c r="K934"/>
  <c r="F934"/>
  <c r="E934"/>
  <c r="D934"/>
  <c r="D931"/>
  <c r="G930"/>
  <c r="H930" s="1"/>
  <c r="H929"/>
  <c r="I929"/>
  <c r="J929" s="1"/>
  <c r="L929" s="1"/>
  <c r="I928"/>
  <c r="J928" s="1"/>
  <c r="L928" s="1"/>
  <c r="H928"/>
  <c r="I926"/>
  <c r="J926" s="1"/>
  <c r="L926" s="1"/>
  <c r="H926"/>
  <c r="I925"/>
  <c r="J925" s="1"/>
  <c r="L925" s="1"/>
  <c r="H925"/>
  <c r="I924"/>
  <c r="H924"/>
  <c r="I923"/>
  <c r="J923" s="1"/>
  <c r="L923" s="1"/>
  <c r="H923"/>
  <c r="F921"/>
  <c r="E921"/>
  <c r="D921"/>
  <c r="I920"/>
  <c r="J920" s="1"/>
  <c r="L920" s="1"/>
  <c r="H920"/>
  <c r="I919"/>
  <c r="J919" s="1"/>
  <c r="L919" s="1"/>
  <c r="I918"/>
  <c r="J918" s="1"/>
  <c r="L918" s="1"/>
  <c r="I917"/>
  <c r="J917" s="1"/>
  <c r="L917" s="1"/>
  <c r="H917"/>
  <c r="H916"/>
  <c r="G921"/>
  <c r="I914"/>
  <c r="J914" s="1"/>
  <c r="L914" s="1"/>
  <c r="H914"/>
  <c r="H913"/>
  <c r="I913"/>
  <c r="J913" s="1"/>
  <c r="L913" s="1"/>
  <c r="H912"/>
  <c r="I912"/>
  <c r="J912" s="1"/>
  <c r="L912" s="1"/>
  <c r="H911"/>
  <c r="I911"/>
  <c r="J911" s="1"/>
  <c r="L911" s="1"/>
  <c r="I910"/>
  <c r="J910" s="1"/>
  <c r="L910" s="1"/>
  <c r="H910"/>
  <c r="I909"/>
  <c r="J909" s="1"/>
  <c r="L909" s="1"/>
  <c r="H909"/>
  <c r="I908"/>
  <c r="J908" s="1"/>
  <c r="L908" s="1"/>
  <c r="H908"/>
  <c r="I907"/>
  <c r="J907" s="1"/>
  <c r="L907" s="1"/>
  <c r="H907"/>
  <c r="H906"/>
  <c r="J906" s="1"/>
  <c r="L906" s="1"/>
  <c r="I906"/>
  <c r="K904"/>
  <c r="K903"/>
  <c r="I903"/>
  <c r="J903" s="1"/>
  <c r="L903" s="1"/>
  <c r="H903"/>
  <c r="K902"/>
  <c r="I902"/>
  <c r="J902" s="1"/>
  <c r="L902" s="1"/>
  <c r="H902"/>
  <c r="K901"/>
  <c r="E901"/>
  <c r="E1010" s="1"/>
  <c r="D901"/>
  <c r="H15" i="14"/>
  <c r="G15"/>
  <c r="F15"/>
  <c r="L19"/>
  <c r="I14"/>
  <c r="H14"/>
  <c r="G14"/>
  <c r="F14"/>
  <c r="K13"/>
  <c r="J12"/>
  <c r="J14" s="1"/>
  <c r="J15" s="1"/>
  <c r="H18" i="13"/>
  <c r="H21" s="1"/>
  <c r="J17"/>
  <c r="J16"/>
  <c r="J18" s="1"/>
  <c r="J21" s="1"/>
  <c r="K21" s="1"/>
  <c r="J12"/>
  <c r="J15"/>
  <c r="K17"/>
  <c r="K14"/>
  <c r="G14"/>
  <c r="F18"/>
  <c r="G18"/>
  <c r="G16"/>
  <c r="K16" s="1"/>
  <c r="L25"/>
  <c r="I18"/>
  <c r="K15"/>
  <c r="I14"/>
  <c r="H14"/>
  <c r="F14"/>
  <c r="K13"/>
  <c r="J14"/>
  <c r="L28" i="12"/>
  <c r="J21"/>
  <c r="K21" s="1"/>
  <c r="I21"/>
  <c r="H21"/>
  <c r="G21"/>
  <c r="F21"/>
  <c r="F24" s="1"/>
  <c r="K20"/>
  <c r="K19"/>
  <c r="K18"/>
  <c r="K17"/>
  <c r="K16"/>
  <c r="I15"/>
  <c r="H15"/>
  <c r="G15"/>
  <c r="G24" s="1"/>
  <c r="F15"/>
  <c r="K14"/>
  <c r="K13"/>
  <c r="K12"/>
  <c r="J12"/>
  <c r="J15" s="1"/>
  <c r="P1175" i="1" l="1"/>
  <c r="J1097"/>
  <c r="H1175"/>
  <c r="N1110"/>
  <c r="L1357"/>
  <c r="G1412"/>
  <c r="N1412" s="1"/>
  <c r="J941"/>
  <c r="L941" s="1"/>
  <c r="G1518"/>
  <c r="G931"/>
  <c r="H931" s="1"/>
  <c r="N938"/>
  <c r="J940"/>
  <c r="L940" s="1"/>
  <c r="H941"/>
  <c r="N964"/>
  <c r="N977"/>
  <c r="J988"/>
  <c r="D904"/>
  <c r="D1010" s="1"/>
  <c r="N953"/>
  <c r="N992"/>
  <c r="J938"/>
  <c r="L938" s="1"/>
  <c r="N944"/>
  <c r="N960"/>
  <c r="N967"/>
  <c r="J969"/>
  <c r="L969" s="1"/>
  <c r="L970" s="1"/>
  <c r="J992"/>
  <c r="H953"/>
  <c r="J953" s="1"/>
  <c r="I930"/>
  <c r="J930" s="1"/>
  <c r="L930" s="1"/>
  <c r="N930"/>
  <c r="H988"/>
  <c r="N988"/>
  <c r="H938"/>
  <c r="N941"/>
  <c r="H944"/>
  <c r="J944" s="1"/>
  <c r="J960"/>
  <c r="J964"/>
  <c r="J967"/>
  <c r="L967" s="1"/>
  <c r="N970"/>
  <c r="J986"/>
  <c r="L986" s="1"/>
  <c r="H992"/>
  <c r="G1158"/>
  <c r="G1285"/>
  <c r="I1285" s="1"/>
  <c r="N1100"/>
  <c r="N1058"/>
  <c r="H980"/>
  <c r="N980"/>
  <c r="J1155"/>
  <c r="L1155" s="1"/>
  <c r="R1176"/>
  <c r="R1178" s="1"/>
  <c r="N1264"/>
  <c r="J1192"/>
  <c r="L1192" s="1"/>
  <c r="H957"/>
  <c r="J957" s="1"/>
  <c r="J1485"/>
  <c r="L1485" s="1"/>
  <c r="L1484"/>
  <c r="I1439"/>
  <c r="J1439" s="1"/>
  <c r="L1439" s="1"/>
  <c r="I1429"/>
  <c r="J1429" s="1"/>
  <c r="L1429" s="1"/>
  <c r="L1350"/>
  <c r="L1351" s="1"/>
  <c r="J1351"/>
  <c r="I1364"/>
  <c r="J1364" s="1"/>
  <c r="J1363"/>
  <c r="L1363" s="1"/>
  <c r="L1364" s="1"/>
  <c r="H1285"/>
  <c r="I1312"/>
  <c r="J1312" s="1"/>
  <c r="L1312" s="1"/>
  <c r="I1302"/>
  <c r="J1302" s="1"/>
  <c r="L1302" s="1"/>
  <c r="H18" i="18"/>
  <c r="I28"/>
  <c r="J28" s="1"/>
  <c r="L28" s="1"/>
  <c r="J49"/>
  <c r="L49" s="1"/>
  <c r="L48"/>
  <c r="I18"/>
  <c r="J18" s="1"/>
  <c r="L18" s="1"/>
  <c r="L78" i="17"/>
  <c r="L79" s="1"/>
  <c r="J79"/>
  <c r="D119"/>
  <c r="I82"/>
  <c r="J82" s="1"/>
  <c r="J81"/>
  <c r="L81" s="1"/>
  <c r="L82" s="1"/>
  <c r="O125"/>
  <c r="P122"/>
  <c r="P123" s="1"/>
  <c r="I40"/>
  <c r="J40" s="1"/>
  <c r="L40" s="1"/>
  <c r="P30"/>
  <c r="I30"/>
  <c r="J30" s="1"/>
  <c r="L30" s="1"/>
  <c r="G13"/>
  <c r="H1158" i="1"/>
  <c r="S13" i="16"/>
  <c r="E119"/>
  <c r="K245"/>
  <c r="M245" s="1"/>
  <c r="M246" s="1"/>
  <c r="J246"/>
  <c r="K246" s="1"/>
  <c r="K235"/>
  <c r="M235" s="1"/>
  <c r="M236" s="1"/>
  <c r="J236"/>
  <c r="K236" s="1"/>
  <c r="K240"/>
  <c r="M240" s="1"/>
  <c r="M239"/>
  <c r="I184"/>
  <c r="H167"/>
  <c r="J194"/>
  <c r="K194" s="1"/>
  <c r="M194" s="1"/>
  <c r="J13"/>
  <c r="J119" s="1"/>
  <c r="M119" s="1"/>
  <c r="M78"/>
  <c r="M79" s="1"/>
  <c r="M30"/>
  <c r="P14"/>
  <c r="P18" s="1"/>
  <c r="P20" s="1"/>
  <c r="H119"/>
  <c r="I119" s="1"/>
  <c r="J92"/>
  <c r="M91"/>
  <c r="M92" s="1"/>
  <c r="J40"/>
  <c r="M40" s="1"/>
  <c r="I1175" i="1"/>
  <c r="J1175" s="1"/>
  <c r="L1175" s="1"/>
  <c r="J1224"/>
  <c r="J1231"/>
  <c r="L1231" s="1"/>
  <c r="L1230"/>
  <c r="I1185"/>
  <c r="J1185" s="1"/>
  <c r="L1185" s="1"/>
  <c r="G1031"/>
  <c r="N1048"/>
  <c r="N1032"/>
  <c r="I1048"/>
  <c r="J1048" s="1"/>
  <c r="L1048" s="1"/>
  <c r="H1048"/>
  <c r="J1104"/>
  <c r="L1104" s="1"/>
  <c r="L1103"/>
  <c r="I1058"/>
  <c r="J1058" s="1"/>
  <c r="L1058" s="1"/>
  <c r="H983"/>
  <c r="N983"/>
  <c r="L957"/>
  <c r="J1072" i="15"/>
  <c r="L1072" s="1"/>
  <c r="D1075"/>
  <c r="H1111"/>
  <c r="J1111" s="1"/>
  <c r="J1075"/>
  <c r="L1075" s="1"/>
  <c r="J1073"/>
  <c r="L1073" s="1"/>
  <c r="J13"/>
  <c r="D119"/>
  <c r="H13"/>
  <c r="I218"/>
  <c r="J218" s="1"/>
  <c r="J217"/>
  <c r="L217" s="1"/>
  <c r="L218" s="1"/>
  <c r="H313"/>
  <c r="I369"/>
  <c r="J368"/>
  <c r="I693"/>
  <c r="J693" s="1"/>
  <c r="J692"/>
  <c r="L692" s="1"/>
  <c r="L693" s="1"/>
  <c r="J119"/>
  <c r="I473"/>
  <c r="J473" s="1"/>
  <c r="L473" s="1"/>
  <c r="I641"/>
  <c r="J641" s="1"/>
  <c r="L641" s="1"/>
  <c r="I799"/>
  <c r="J799" s="1"/>
  <c r="L799" s="1"/>
  <c r="I375"/>
  <c r="J375" s="1"/>
  <c r="J374"/>
  <c r="L374" s="1"/>
  <c r="L375" s="1"/>
  <c r="H631"/>
  <c r="H789"/>
  <c r="G772"/>
  <c r="G878" s="1"/>
  <c r="H878" s="1"/>
  <c r="I483"/>
  <c r="J483" s="1"/>
  <c r="L483" s="1"/>
  <c r="I845"/>
  <c r="J844"/>
  <c r="I848"/>
  <c r="J848" s="1"/>
  <c r="J847"/>
  <c r="L847" s="1"/>
  <c r="L848" s="1"/>
  <c r="G947"/>
  <c r="H932"/>
  <c r="J932" s="1"/>
  <c r="L932" s="1"/>
  <c r="J949"/>
  <c r="L949" s="1"/>
  <c r="I1009"/>
  <c r="J1009" s="1"/>
  <c r="J1008"/>
  <c r="L1008" s="1"/>
  <c r="L1009" s="1"/>
  <c r="I1127"/>
  <c r="J1127" s="1"/>
  <c r="J1126"/>
  <c r="L1126" s="1"/>
  <c r="L1127" s="1"/>
  <c r="I30"/>
  <c r="J30" s="1"/>
  <c r="I164"/>
  <c r="J164" s="1"/>
  <c r="L164" s="1"/>
  <c r="I165"/>
  <c r="J165" s="1"/>
  <c r="L165" s="1"/>
  <c r="H215"/>
  <c r="I304"/>
  <c r="J304" s="1"/>
  <c r="L304" s="1"/>
  <c r="I321"/>
  <c r="J321" s="1"/>
  <c r="L321" s="1"/>
  <c r="I322"/>
  <c r="J322" s="1"/>
  <c r="L322" s="1"/>
  <c r="L361"/>
  <c r="L362" s="1"/>
  <c r="J372"/>
  <c r="J10"/>
  <c r="I136"/>
  <c r="J136" s="1"/>
  <c r="L136" s="1"/>
  <c r="G139"/>
  <c r="H164"/>
  <c r="I298"/>
  <c r="H303"/>
  <c r="H305"/>
  <c r="H321"/>
  <c r="H368"/>
  <c r="H369" s="1"/>
  <c r="G369"/>
  <c r="G296" s="1"/>
  <c r="N369"/>
  <c r="J382"/>
  <c r="L382" s="1"/>
  <c r="H453"/>
  <c r="H458"/>
  <c r="J458" s="1"/>
  <c r="L458" s="1"/>
  <c r="H463"/>
  <c r="H464"/>
  <c r="H465"/>
  <c r="G473"/>
  <c r="H479"/>
  <c r="H516"/>
  <c r="J521"/>
  <c r="J528"/>
  <c r="H534"/>
  <c r="J542"/>
  <c r="L542" s="1"/>
  <c r="H611"/>
  <c r="H625"/>
  <c r="H626"/>
  <c r="H627"/>
  <c r="H628"/>
  <c r="H629"/>
  <c r="I637"/>
  <c r="J637" s="1"/>
  <c r="L637" s="1"/>
  <c r="H639"/>
  <c r="H640"/>
  <c r="J650"/>
  <c r="J680"/>
  <c r="J687"/>
  <c r="L687" s="1"/>
  <c r="H692"/>
  <c r="G693"/>
  <c r="H693" s="1"/>
  <c r="J700"/>
  <c r="L700" s="1"/>
  <c r="H783"/>
  <c r="H784"/>
  <c r="H785"/>
  <c r="H786"/>
  <c r="H787"/>
  <c r="I795"/>
  <c r="J795" s="1"/>
  <c r="L795" s="1"/>
  <c r="H797"/>
  <c r="H798"/>
  <c r="J808"/>
  <c r="I832"/>
  <c r="J832" s="1"/>
  <c r="I937"/>
  <c r="J937" s="1"/>
  <c r="L937" s="1"/>
  <c r="I939"/>
  <c r="J939" s="1"/>
  <c r="L939" s="1"/>
  <c r="I945"/>
  <c r="J945" s="1"/>
  <c r="L945" s="1"/>
  <c r="N945"/>
  <c r="I838"/>
  <c r="J837"/>
  <c r="I841"/>
  <c r="J841" s="1"/>
  <c r="J840"/>
  <c r="L840" s="1"/>
  <c r="L841" s="1"/>
  <c r="I999"/>
  <c r="J999" s="1"/>
  <c r="J998"/>
  <c r="L998" s="1"/>
  <c r="L999" s="1"/>
  <c r="I1137"/>
  <c r="J1137" s="1"/>
  <c r="J1136"/>
  <c r="L1136" s="1"/>
  <c r="L1137" s="1"/>
  <c r="I453"/>
  <c r="J453" s="1"/>
  <c r="L453" s="1"/>
  <c r="I479"/>
  <c r="J479" s="1"/>
  <c r="L479" s="1"/>
  <c r="I534"/>
  <c r="I611"/>
  <c r="J611" s="1"/>
  <c r="L611" s="1"/>
  <c r="I625"/>
  <c r="J625" s="1"/>
  <c r="L625" s="1"/>
  <c r="I769"/>
  <c r="J769" s="1"/>
  <c r="L769" s="1"/>
  <c r="I783"/>
  <c r="J783" s="1"/>
  <c r="L783" s="1"/>
  <c r="I856"/>
  <c r="J856" s="1"/>
  <c r="I927"/>
  <c r="J927" s="1"/>
  <c r="L927" s="1"/>
  <c r="I944"/>
  <c r="J944" s="1"/>
  <c r="L944" s="1"/>
  <c r="I953"/>
  <c r="J953" s="1"/>
  <c r="L953" s="1"/>
  <c r="H955"/>
  <c r="H956"/>
  <c r="J966"/>
  <c r="L966" s="1"/>
  <c r="H986"/>
  <c r="H990"/>
  <c r="H993"/>
  <c r="J996"/>
  <c r="H998"/>
  <c r="G999"/>
  <c r="H999" s="1"/>
  <c r="J1002"/>
  <c r="J1005"/>
  <c r="L1005" s="1"/>
  <c r="L1006" s="1"/>
  <c r="J1016"/>
  <c r="L1016" s="1"/>
  <c r="I1055"/>
  <c r="J1055" s="1"/>
  <c r="L1055" s="1"/>
  <c r="H1060"/>
  <c r="J1060" s="1"/>
  <c r="L1060" s="1"/>
  <c r="H1065"/>
  <c r="H1066"/>
  <c r="H1067"/>
  <c r="G1075"/>
  <c r="J1077"/>
  <c r="L1077" s="1"/>
  <c r="I1081"/>
  <c r="J1081" s="1"/>
  <c r="L1081" s="1"/>
  <c r="H1083"/>
  <c r="H1084"/>
  <c r="J1094"/>
  <c r="L1094" s="1"/>
  <c r="H1114"/>
  <c r="H1118"/>
  <c r="H1121"/>
  <c r="J1124"/>
  <c r="H1126"/>
  <c r="G1127"/>
  <c r="H1127" s="1"/>
  <c r="J1130"/>
  <c r="J1133"/>
  <c r="L1133" s="1"/>
  <c r="L1134" s="1"/>
  <c r="J1144"/>
  <c r="L1144" s="1"/>
  <c r="H921" i="1"/>
  <c r="I973"/>
  <c r="J973" s="1"/>
  <c r="J972"/>
  <c r="L972" s="1"/>
  <c r="L973" s="1"/>
  <c r="I983"/>
  <c r="J983" s="1"/>
  <c r="J982"/>
  <c r="L982" s="1"/>
  <c r="L983" s="1"/>
  <c r="I915"/>
  <c r="J915" s="1"/>
  <c r="L915" s="1"/>
  <c r="I916"/>
  <c r="J916" s="1"/>
  <c r="L916" s="1"/>
  <c r="H901"/>
  <c r="H915"/>
  <c r="H918"/>
  <c r="H919"/>
  <c r="J924"/>
  <c r="L924" s="1"/>
  <c r="H927"/>
  <c r="J936"/>
  <c r="L936" s="1"/>
  <c r="H960"/>
  <c r="H964"/>
  <c r="H967"/>
  <c r="H972"/>
  <c r="G973"/>
  <c r="H973" s="1"/>
  <c r="J976"/>
  <c r="J979"/>
  <c r="L979" s="1"/>
  <c r="L980" s="1"/>
  <c r="J990"/>
  <c r="L990" s="1"/>
  <c r="I901"/>
  <c r="J901" s="1"/>
  <c r="L901" s="1"/>
  <c r="I927"/>
  <c r="J927" s="1"/>
  <c r="L927" s="1"/>
  <c r="K14" i="14"/>
  <c r="K12"/>
  <c r="F21" i="13"/>
  <c r="K18"/>
  <c r="K12"/>
  <c r="J24" i="12"/>
  <c r="K24" s="1"/>
  <c r="K15"/>
  <c r="J970" i="1" l="1"/>
  <c r="N1137"/>
  <c r="N1140" s="1"/>
  <c r="N973"/>
  <c r="G904"/>
  <c r="N904" s="1"/>
  <c r="O905" s="1"/>
  <c r="P1267"/>
  <c r="P1268" s="1"/>
  <c r="O1270"/>
  <c r="N1285"/>
  <c r="G1391"/>
  <c r="H1391" s="1"/>
  <c r="G1264"/>
  <c r="H1264" s="1"/>
  <c r="N1158"/>
  <c r="O1159" s="1"/>
  <c r="O1163" s="1"/>
  <c r="O1165" s="1"/>
  <c r="N1010"/>
  <c r="H1412"/>
  <c r="I1412"/>
  <c r="H1518"/>
  <c r="I1391"/>
  <c r="J1391" s="1"/>
  <c r="L1391" s="1"/>
  <c r="J1285"/>
  <c r="L1285" s="1"/>
  <c r="H13" i="17"/>
  <c r="I13"/>
  <c r="G119"/>
  <c r="H119" s="1"/>
  <c r="N13"/>
  <c r="O14" s="1"/>
  <c r="O18" s="1"/>
  <c r="O20" s="1"/>
  <c r="J167" i="16"/>
  <c r="I167"/>
  <c r="H273"/>
  <c r="I273" s="1"/>
  <c r="M13"/>
  <c r="N1075" i="15"/>
  <c r="D1058"/>
  <c r="D1164" s="1"/>
  <c r="I1158" i="1"/>
  <c r="J1158" s="1"/>
  <c r="L1158" s="1"/>
  <c r="O1031"/>
  <c r="O1032" s="1"/>
  <c r="G1137"/>
  <c r="I1031"/>
  <c r="H1031"/>
  <c r="I931"/>
  <c r="J931" s="1"/>
  <c r="L931" s="1"/>
  <c r="G402" i="15"/>
  <c r="H402" s="1"/>
  <c r="H296"/>
  <c r="I296"/>
  <c r="H1075"/>
  <c r="G1058"/>
  <c r="I535"/>
  <c r="J535" s="1"/>
  <c r="J534"/>
  <c r="L534" s="1"/>
  <c r="L535" s="1"/>
  <c r="L528"/>
  <c r="J529"/>
  <c r="L529" s="1"/>
  <c r="H473"/>
  <c r="G456"/>
  <c r="L837"/>
  <c r="L838" s="1"/>
  <c r="J838"/>
  <c r="L521"/>
  <c r="L522" s="1"/>
  <c r="J522"/>
  <c r="H139"/>
  <c r="I139"/>
  <c r="L844"/>
  <c r="J845"/>
  <c r="L845" s="1"/>
  <c r="L368"/>
  <c r="L369" s="1"/>
  <c r="J369"/>
  <c r="I947"/>
  <c r="J947" s="1"/>
  <c r="L947" s="1"/>
  <c r="I1085"/>
  <c r="J1085" s="1"/>
  <c r="L1085" s="1"/>
  <c r="I313"/>
  <c r="J313" s="1"/>
  <c r="L313" s="1"/>
  <c r="I789"/>
  <c r="J789" s="1"/>
  <c r="L789" s="1"/>
  <c r="I631"/>
  <c r="J631" s="1"/>
  <c r="L631" s="1"/>
  <c r="I323"/>
  <c r="J323" s="1"/>
  <c r="L323" s="1"/>
  <c r="G245"/>
  <c r="H245" s="1"/>
  <c r="J1131"/>
  <c r="L1131" s="1"/>
  <c r="L1130"/>
  <c r="J1003"/>
  <c r="L1003" s="1"/>
  <c r="L1002"/>
  <c r="H947"/>
  <c r="G930"/>
  <c r="H772"/>
  <c r="I772"/>
  <c r="H119"/>
  <c r="XFD119" s="1"/>
  <c r="I957"/>
  <c r="J957" s="1"/>
  <c r="L957" s="1"/>
  <c r="G614"/>
  <c r="I166"/>
  <c r="J166" s="1"/>
  <c r="L166" s="1"/>
  <c r="J977" i="1"/>
  <c r="L977" s="1"/>
  <c r="L976"/>
  <c r="I921"/>
  <c r="J921" s="1"/>
  <c r="L921" s="1"/>
  <c r="K15" i="14"/>
  <c r="I1518" i="1" l="1"/>
  <c r="J1518" s="1"/>
  <c r="L1518" s="1"/>
  <c r="J1412"/>
  <c r="L1412" s="1"/>
  <c r="J13" i="17"/>
  <c r="L13" s="1"/>
  <c r="I119"/>
  <c r="J119" s="1"/>
  <c r="L119" s="1"/>
  <c r="J273" i="16"/>
  <c r="K273" s="1"/>
  <c r="M273" s="1"/>
  <c r="K167"/>
  <c r="M167" s="1"/>
  <c r="I1264" i="1"/>
  <c r="H1137"/>
  <c r="I1137"/>
  <c r="J1137" s="1"/>
  <c r="L1137" s="1"/>
  <c r="J1031"/>
  <c r="L1031" s="1"/>
  <c r="H614" i="15"/>
  <c r="I614"/>
  <c r="G720"/>
  <c r="H720" s="1"/>
  <c r="I878"/>
  <c r="J878" s="1"/>
  <c r="L878" s="1"/>
  <c r="J772"/>
  <c r="L772" s="1"/>
  <c r="I245"/>
  <c r="J245" s="1"/>
  <c r="L245" s="1"/>
  <c r="J139"/>
  <c r="L139" s="1"/>
  <c r="H456"/>
  <c r="I456"/>
  <c r="G562"/>
  <c r="H562" s="1"/>
  <c r="I1058"/>
  <c r="H1058"/>
  <c r="G1164"/>
  <c r="H1164" s="1"/>
  <c r="I402"/>
  <c r="J402" s="1"/>
  <c r="L402" s="1"/>
  <c r="J296"/>
  <c r="L296" s="1"/>
  <c r="H930"/>
  <c r="I930"/>
  <c r="G1036"/>
  <c r="H904" i="1"/>
  <c r="I904"/>
  <c r="G1010"/>
  <c r="D12" i="11"/>
  <c r="C12"/>
  <c r="F5"/>
  <c r="E5"/>
  <c r="N813" i="1"/>
  <c r="K883"/>
  <c r="K865"/>
  <c r="K864"/>
  <c r="K863"/>
  <c r="K861"/>
  <c r="K860"/>
  <c r="K859"/>
  <c r="K855"/>
  <c r="K852"/>
  <c r="K849"/>
  <c r="K850" s="1"/>
  <c r="K845"/>
  <c r="K846" s="1"/>
  <c r="K842"/>
  <c r="K843" s="1"/>
  <c r="K840"/>
  <c r="K839"/>
  <c r="K836"/>
  <c r="K837" s="1"/>
  <c r="K832"/>
  <c r="K833" s="1"/>
  <c r="K830"/>
  <c r="K829"/>
  <c r="K828"/>
  <c r="K817"/>
  <c r="K816"/>
  <c r="K814"/>
  <c r="K813"/>
  <c r="K811"/>
  <c r="K810"/>
  <c r="K809"/>
  <c r="K804"/>
  <c r="K803"/>
  <c r="K797"/>
  <c r="K798"/>
  <c r="K799"/>
  <c r="K800"/>
  <c r="K801"/>
  <c r="K802"/>
  <c r="K796"/>
  <c r="K794"/>
  <c r="K793"/>
  <c r="K780"/>
  <c r="K781"/>
  <c r="K782"/>
  <c r="K783"/>
  <c r="K784"/>
  <c r="K785"/>
  <c r="K786"/>
  <c r="K787"/>
  <c r="K788"/>
  <c r="K789"/>
  <c r="K790"/>
  <c r="K791"/>
  <c r="K792"/>
  <c r="K779"/>
  <c r="K777"/>
  <c r="K776"/>
  <c r="K775"/>
  <c r="K774"/>
  <c r="G845"/>
  <c r="H845" s="1"/>
  <c r="H849"/>
  <c r="G855"/>
  <c r="I855" s="1"/>
  <c r="G803"/>
  <c r="H803" s="1"/>
  <c r="G802"/>
  <c r="H802" s="1"/>
  <c r="G800"/>
  <c r="H800" s="1"/>
  <c r="H797"/>
  <c r="I796"/>
  <c r="J796" s="1"/>
  <c r="L796" s="1"/>
  <c r="H796"/>
  <c r="G792"/>
  <c r="N792" s="1"/>
  <c r="G789"/>
  <c r="H789" s="1"/>
  <c r="G786"/>
  <c r="I786" s="1"/>
  <c r="J786" s="1"/>
  <c r="L786" s="1"/>
  <c r="G785"/>
  <c r="I785" s="1"/>
  <c r="J785" s="1"/>
  <c r="L785" s="1"/>
  <c r="G784"/>
  <c r="H784" s="1"/>
  <c r="G788"/>
  <c r="H788" s="1"/>
  <c r="H782"/>
  <c r="G779"/>
  <c r="H779" s="1"/>
  <c r="J779" s="1"/>
  <c r="L779" s="1"/>
  <c r="I839"/>
  <c r="J839" s="1"/>
  <c r="L839" s="1"/>
  <c r="I836"/>
  <c r="H839"/>
  <c r="G840"/>
  <c r="I840" s="1"/>
  <c r="G861"/>
  <c r="I859"/>
  <c r="J859" s="1"/>
  <c r="I860"/>
  <c r="J860" s="1"/>
  <c r="H859"/>
  <c r="I810"/>
  <c r="J810" s="1"/>
  <c r="L810" s="1"/>
  <c r="I809"/>
  <c r="H801"/>
  <c r="H810"/>
  <c r="H809"/>
  <c r="G811"/>
  <c r="F883"/>
  <c r="K882"/>
  <c r="D882"/>
  <c r="K879"/>
  <c r="D879"/>
  <c r="K876"/>
  <c r="D876"/>
  <c r="L873"/>
  <c r="K873"/>
  <c r="I873"/>
  <c r="F873"/>
  <c r="F876" s="1"/>
  <c r="E873"/>
  <c r="E876" s="1"/>
  <c r="D873"/>
  <c r="K868"/>
  <c r="D868"/>
  <c r="G865"/>
  <c r="F865"/>
  <c r="F868" s="1"/>
  <c r="E865"/>
  <c r="D865"/>
  <c r="I864"/>
  <c r="J864" s="1"/>
  <c r="L864" s="1"/>
  <c r="L865" s="1"/>
  <c r="H864"/>
  <c r="I863"/>
  <c r="I865" s="1"/>
  <c r="H863"/>
  <c r="L861"/>
  <c r="F861"/>
  <c r="E861"/>
  <c r="D861"/>
  <c r="H860"/>
  <c r="F856"/>
  <c r="E856"/>
  <c r="D856"/>
  <c r="K856"/>
  <c r="K853"/>
  <c r="G853"/>
  <c r="D853"/>
  <c r="I852"/>
  <c r="J852" s="1"/>
  <c r="L852" s="1"/>
  <c r="L853" s="1"/>
  <c r="H852"/>
  <c r="G850"/>
  <c r="F850"/>
  <c r="F853" s="1"/>
  <c r="E850"/>
  <c r="E853" s="1"/>
  <c r="D850"/>
  <c r="I849"/>
  <c r="I850" s="1"/>
  <c r="H850"/>
  <c r="G846"/>
  <c r="D846"/>
  <c r="I845"/>
  <c r="I846" s="1"/>
  <c r="G843"/>
  <c r="F843"/>
  <c r="F846" s="1"/>
  <c r="E843"/>
  <c r="E846" s="1"/>
  <c r="D843"/>
  <c r="I842"/>
  <c r="I843" s="1"/>
  <c r="H842"/>
  <c r="H843" s="1"/>
  <c r="D840"/>
  <c r="G837"/>
  <c r="I837" s="1"/>
  <c r="F837"/>
  <c r="F840" s="1"/>
  <c r="E837"/>
  <c r="E840" s="1"/>
  <c r="D837"/>
  <c r="J836"/>
  <c r="L836" s="1"/>
  <c r="L837" s="1"/>
  <c r="H836"/>
  <c r="G833"/>
  <c r="I833" s="1"/>
  <c r="F833"/>
  <c r="E833"/>
  <c r="D833"/>
  <c r="I832"/>
  <c r="J832" s="1"/>
  <c r="L832" s="1"/>
  <c r="L833" s="1"/>
  <c r="H832"/>
  <c r="G830"/>
  <c r="D830"/>
  <c r="I829"/>
  <c r="I830" s="1"/>
  <c r="H829"/>
  <c r="J829" s="1"/>
  <c r="L829" s="1"/>
  <c r="L826"/>
  <c r="K826"/>
  <c r="F826"/>
  <c r="F830" s="1"/>
  <c r="E826"/>
  <c r="E830" s="1"/>
  <c r="D826"/>
  <c r="L823"/>
  <c r="K823"/>
  <c r="F823"/>
  <c r="E823"/>
  <c r="D823"/>
  <c r="I820"/>
  <c r="G817"/>
  <c r="D817"/>
  <c r="I816"/>
  <c r="I817" s="1"/>
  <c r="H816"/>
  <c r="J816" s="1"/>
  <c r="L816" s="1"/>
  <c r="L817" s="1"/>
  <c r="G814"/>
  <c r="F814"/>
  <c r="F817" s="1"/>
  <c r="E814"/>
  <c r="E817" s="1"/>
  <c r="D814"/>
  <c r="I813"/>
  <c r="J813" s="1"/>
  <c r="L813" s="1"/>
  <c r="H813"/>
  <c r="F811"/>
  <c r="E811"/>
  <c r="D811"/>
  <c r="L807"/>
  <c r="K807"/>
  <c r="F807"/>
  <c r="E807"/>
  <c r="D807"/>
  <c r="D804"/>
  <c r="I801"/>
  <c r="I799"/>
  <c r="J799" s="1"/>
  <c r="L799" s="1"/>
  <c r="H799"/>
  <c r="I798"/>
  <c r="J798" s="1"/>
  <c r="L798" s="1"/>
  <c r="H798"/>
  <c r="I797"/>
  <c r="J797" s="1"/>
  <c r="L797" s="1"/>
  <c r="F794"/>
  <c r="E794"/>
  <c r="D794"/>
  <c r="I793"/>
  <c r="J793" s="1"/>
  <c r="L793" s="1"/>
  <c r="H793"/>
  <c r="G791"/>
  <c r="H791" s="1"/>
  <c r="G790"/>
  <c r="H790" s="1"/>
  <c r="I787"/>
  <c r="J787" s="1"/>
  <c r="L787" s="1"/>
  <c r="H787"/>
  <c r="H786"/>
  <c r="H785"/>
  <c r="I784"/>
  <c r="J784" s="1"/>
  <c r="L784" s="1"/>
  <c r="I783"/>
  <c r="J783" s="1"/>
  <c r="L783" s="1"/>
  <c r="H783"/>
  <c r="I782"/>
  <c r="J782" s="1"/>
  <c r="L782" s="1"/>
  <c r="I781"/>
  <c r="J781" s="1"/>
  <c r="L781" s="1"/>
  <c r="H781"/>
  <c r="I780"/>
  <c r="J780" s="1"/>
  <c r="L780" s="1"/>
  <c r="H780"/>
  <c r="I776"/>
  <c r="J776" s="1"/>
  <c r="L776" s="1"/>
  <c r="H776"/>
  <c r="I775"/>
  <c r="J775" s="1"/>
  <c r="L775" s="1"/>
  <c r="H775"/>
  <c r="G774"/>
  <c r="E774"/>
  <c r="E883" s="1"/>
  <c r="D774"/>
  <c r="G658"/>
  <c r="I658" s="1"/>
  <c r="J658" s="1"/>
  <c r="L658" s="1"/>
  <c r="K756"/>
  <c r="F756"/>
  <c r="K755"/>
  <c r="D755"/>
  <c r="K752"/>
  <c r="D752"/>
  <c r="K749"/>
  <c r="D749"/>
  <c r="L746"/>
  <c r="K746"/>
  <c r="I746"/>
  <c r="F746"/>
  <c r="F749" s="1"/>
  <c r="E746"/>
  <c r="E749" s="1"/>
  <c r="D746"/>
  <c r="K741"/>
  <c r="D741"/>
  <c r="K738"/>
  <c r="G738"/>
  <c r="F738"/>
  <c r="F741" s="1"/>
  <c r="E738"/>
  <c r="D738"/>
  <c r="K737"/>
  <c r="I737"/>
  <c r="J737" s="1"/>
  <c r="L737" s="1"/>
  <c r="L738" s="1"/>
  <c r="H737"/>
  <c r="K736"/>
  <c r="I736"/>
  <c r="H736"/>
  <c r="L734"/>
  <c r="K734"/>
  <c r="G734"/>
  <c r="F734"/>
  <c r="E734"/>
  <c r="D734"/>
  <c r="K733"/>
  <c r="I733"/>
  <c r="J733" s="1"/>
  <c r="H733"/>
  <c r="K732"/>
  <c r="F729"/>
  <c r="E729"/>
  <c r="D729"/>
  <c r="K728"/>
  <c r="K729" s="1"/>
  <c r="G728"/>
  <c r="I728" s="1"/>
  <c r="G726"/>
  <c r="D726"/>
  <c r="K725"/>
  <c r="K726" s="1"/>
  <c r="I725"/>
  <c r="I726" s="1"/>
  <c r="J726" s="1"/>
  <c r="H725"/>
  <c r="G723"/>
  <c r="F723"/>
  <c r="F726" s="1"/>
  <c r="E723"/>
  <c r="E726" s="1"/>
  <c r="D723"/>
  <c r="K722"/>
  <c r="K723" s="1"/>
  <c r="I722"/>
  <c r="I723" s="1"/>
  <c r="H722"/>
  <c r="H723" s="1"/>
  <c r="G719"/>
  <c r="D719"/>
  <c r="K718"/>
  <c r="K719" s="1"/>
  <c r="I718"/>
  <c r="I719" s="1"/>
  <c r="J719" s="1"/>
  <c r="H718"/>
  <c r="G716"/>
  <c r="F716"/>
  <c r="F719" s="1"/>
  <c r="E716"/>
  <c r="E719" s="1"/>
  <c r="D716"/>
  <c r="K715"/>
  <c r="K716" s="1"/>
  <c r="I715"/>
  <c r="I716" s="1"/>
  <c r="H715"/>
  <c r="H716" s="1"/>
  <c r="K713"/>
  <c r="D713"/>
  <c r="K712"/>
  <c r="G710"/>
  <c r="I710" s="1"/>
  <c r="F710"/>
  <c r="F713" s="1"/>
  <c r="E710"/>
  <c r="E713" s="1"/>
  <c r="D710"/>
  <c r="K709"/>
  <c r="K710" s="1"/>
  <c r="I709"/>
  <c r="J709" s="1"/>
  <c r="L709" s="1"/>
  <c r="L710" s="1"/>
  <c r="H709"/>
  <c r="G706"/>
  <c r="I706" s="1"/>
  <c r="F706"/>
  <c r="E706"/>
  <c r="D706"/>
  <c r="K705"/>
  <c r="K706" s="1"/>
  <c r="I705"/>
  <c r="J705" s="1"/>
  <c r="L705" s="1"/>
  <c r="L706" s="1"/>
  <c r="H705"/>
  <c r="K703"/>
  <c r="G703"/>
  <c r="D703"/>
  <c r="K702"/>
  <c r="I702"/>
  <c r="I703" s="1"/>
  <c r="H702"/>
  <c r="J702" s="1"/>
  <c r="K701"/>
  <c r="L699"/>
  <c r="L703" s="1"/>
  <c r="K699"/>
  <c r="F699"/>
  <c r="F703" s="1"/>
  <c r="E699"/>
  <c r="E703" s="1"/>
  <c r="D699"/>
  <c r="L696"/>
  <c r="K696"/>
  <c r="F696"/>
  <c r="E696"/>
  <c r="D696"/>
  <c r="I693"/>
  <c r="K690"/>
  <c r="G690"/>
  <c r="D690"/>
  <c r="K689"/>
  <c r="I689"/>
  <c r="I690" s="1"/>
  <c r="H689"/>
  <c r="J689" s="1"/>
  <c r="L689" s="1"/>
  <c r="L687"/>
  <c r="K687"/>
  <c r="G687"/>
  <c r="F687"/>
  <c r="F690" s="1"/>
  <c r="E687"/>
  <c r="E690" s="1"/>
  <c r="D687"/>
  <c r="K686"/>
  <c r="I686"/>
  <c r="I687" s="1"/>
  <c r="J687" s="1"/>
  <c r="H686"/>
  <c r="L684"/>
  <c r="K684"/>
  <c r="F684"/>
  <c r="E684"/>
  <c r="D684"/>
  <c r="K683"/>
  <c r="K682"/>
  <c r="L680"/>
  <c r="K680"/>
  <c r="F680"/>
  <c r="E680"/>
  <c r="D680"/>
  <c r="K677"/>
  <c r="D677"/>
  <c r="K676"/>
  <c r="G676"/>
  <c r="I676" s="1"/>
  <c r="J676" s="1"/>
  <c r="L676" s="1"/>
  <c r="K675"/>
  <c r="G675"/>
  <c r="I675" s="1"/>
  <c r="J675" s="1"/>
  <c r="L675" s="1"/>
  <c r="K674"/>
  <c r="I674"/>
  <c r="J674" s="1"/>
  <c r="L674" s="1"/>
  <c r="H674"/>
  <c r="K673"/>
  <c r="G673"/>
  <c r="K672"/>
  <c r="I672"/>
  <c r="J672" s="1"/>
  <c r="L672" s="1"/>
  <c r="H672"/>
  <c r="K671"/>
  <c r="I671"/>
  <c r="J671" s="1"/>
  <c r="L671" s="1"/>
  <c r="H671"/>
  <c r="K670"/>
  <c r="I670"/>
  <c r="K669"/>
  <c r="K667"/>
  <c r="F667"/>
  <c r="E667"/>
  <c r="D667"/>
  <c r="K666"/>
  <c r="I666"/>
  <c r="J666" s="1"/>
  <c r="L666" s="1"/>
  <c r="H666"/>
  <c r="K665"/>
  <c r="G665"/>
  <c r="I665" s="1"/>
  <c r="J665" s="1"/>
  <c r="L665" s="1"/>
  <c r="K664"/>
  <c r="G664"/>
  <c r="I664" s="1"/>
  <c r="J664" s="1"/>
  <c r="L664" s="1"/>
  <c r="K663"/>
  <c r="G663"/>
  <c r="I663" s="1"/>
  <c r="J663" s="1"/>
  <c r="L663" s="1"/>
  <c r="K662"/>
  <c r="G662"/>
  <c r="I662" s="1"/>
  <c r="J662" s="1"/>
  <c r="L662" s="1"/>
  <c r="K661"/>
  <c r="G661"/>
  <c r="I661" s="1"/>
  <c r="J661" s="1"/>
  <c r="L661" s="1"/>
  <c r="K660"/>
  <c r="I660"/>
  <c r="J660" s="1"/>
  <c r="L660" s="1"/>
  <c r="H660"/>
  <c r="K659"/>
  <c r="G659"/>
  <c r="I659" s="1"/>
  <c r="J659" s="1"/>
  <c r="L659" s="1"/>
  <c r="K658"/>
  <c r="H658"/>
  <c r="K657"/>
  <c r="G657"/>
  <c r="I657" s="1"/>
  <c r="J657" s="1"/>
  <c r="L657" s="1"/>
  <c r="K656"/>
  <c r="I656"/>
  <c r="J656" s="1"/>
  <c r="L656" s="1"/>
  <c r="H656"/>
  <c r="K655"/>
  <c r="I655"/>
  <c r="J655" s="1"/>
  <c r="L655" s="1"/>
  <c r="H655"/>
  <c r="K654"/>
  <c r="I654"/>
  <c r="J654" s="1"/>
  <c r="L654" s="1"/>
  <c r="H654"/>
  <c r="K653"/>
  <c r="I653"/>
  <c r="J653" s="1"/>
  <c r="L653" s="1"/>
  <c r="H653"/>
  <c r="K652"/>
  <c r="G652"/>
  <c r="H652" s="1"/>
  <c r="J652" s="1"/>
  <c r="L652" s="1"/>
  <c r="K650"/>
  <c r="K649"/>
  <c r="I649"/>
  <c r="J649" s="1"/>
  <c r="L649" s="1"/>
  <c r="H649"/>
  <c r="K648"/>
  <c r="I648"/>
  <c r="J648" s="1"/>
  <c r="L648" s="1"/>
  <c r="H648"/>
  <c r="K647"/>
  <c r="G647"/>
  <c r="E647"/>
  <c r="E756" s="1"/>
  <c r="D647"/>
  <c r="J126" i="10"/>
  <c r="J123"/>
  <c r="I122"/>
  <c r="I116"/>
  <c r="I112"/>
  <c r="I110"/>
  <c r="I108"/>
  <c r="I104"/>
  <c r="I101"/>
  <c r="I99"/>
  <c r="I97"/>
  <c r="I88"/>
  <c r="I84"/>
  <c r="I78"/>
  <c r="I75"/>
  <c r="I71"/>
  <c r="I63"/>
  <c r="I61"/>
  <c r="I52"/>
  <c r="I49"/>
  <c r="I47"/>
  <c r="I41"/>
  <c r="I39"/>
  <c r="I36"/>
  <c r="I20"/>
  <c r="I8"/>
  <c r="I124" s="1"/>
  <c r="I559" i="1"/>
  <c r="J559" s="1"/>
  <c r="H559"/>
  <c r="G560"/>
  <c r="K629"/>
  <c r="K611"/>
  <c r="K610"/>
  <c r="K609"/>
  <c r="K607"/>
  <c r="K606"/>
  <c r="K605"/>
  <c r="K601"/>
  <c r="K598"/>
  <c r="K599" s="1"/>
  <c r="K595"/>
  <c r="K591"/>
  <c r="K592" s="1"/>
  <c r="K586"/>
  <c r="K588"/>
  <c r="K589" s="1"/>
  <c r="K585"/>
  <c r="K582"/>
  <c r="K583" s="1"/>
  <c r="K578"/>
  <c r="K576"/>
  <c r="K575"/>
  <c r="K574"/>
  <c r="K563"/>
  <c r="K562"/>
  <c r="K560"/>
  <c r="K559"/>
  <c r="K557"/>
  <c r="K556"/>
  <c r="K555"/>
  <c r="K550"/>
  <c r="K543"/>
  <c r="K544"/>
  <c r="K545"/>
  <c r="K546"/>
  <c r="K547"/>
  <c r="K548"/>
  <c r="K549"/>
  <c r="K553"/>
  <c r="K542"/>
  <c r="K540"/>
  <c r="K528"/>
  <c r="K529"/>
  <c r="K530"/>
  <c r="K531"/>
  <c r="K532"/>
  <c r="K533"/>
  <c r="K534"/>
  <c r="K535"/>
  <c r="K536"/>
  <c r="K537"/>
  <c r="K538"/>
  <c r="K539"/>
  <c r="K526"/>
  <c r="K527"/>
  <c r="K525"/>
  <c r="K521"/>
  <c r="K522"/>
  <c r="K523"/>
  <c r="K520"/>
  <c r="G520"/>
  <c r="G548"/>
  <c r="I548" s="1"/>
  <c r="J548" s="1"/>
  <c r="L548" s="1"/>
  <c r="G546"/>
  <c r="H546" s="1"/>
  <c r="G538"/>
  <c r="H538" s="1"/>
  <c r="G537"/>
  <c r="H537" s="1"/>
  <c r="G536"/>
  <c r="H536" s="1"/>
  <c r="G535"/>
  <c r="I535" s="1"/>
  <c r="J535" s="1"/>
  <c r="L535" s="1"/>
  <c r="G532"/>
  <c r="H532" s="1"/>
  <c r="G531"/>
  <c r="H531" s="1"/>
  <c r="G530"/>
  <c r="H530" s="1"/>
  <c r="G534"/>
  <c r="I534" s="1"/>
  <c r="J534" s="1"/>
  <c r="L534" s="1"/>
  <c r="G525"/>
  <c r="I606"/>
  <c r="J606" s="1"/>
  <c r="I598"/>
  <c r="I599" s="1"/>
  <c r="I595"/>
  <c r="I596" s="1"/>
  <c r="H606"/>
  <c r="G607"/>
  <c r="I575"/>
  <c r="I576" s="1"/>
  <c r="I562"/>
  <c r="I563" s="1"/>
  <c r="H575"/>
  <c r="J575" s="1"/>
  <c r="G576"/>
  <c r="G563"/>
  <c r="F629"/>
  <c r="K628"/>
  <c r="D628"/>
  <c r="K625"/>
  <c r="D625"/>
  <c r="K622"/>
  <c r="D622"/>
  <c r="L619"/>
  <c r="K619"/>
  <c r="I619"/>
  <c r="F619"/>
  <c r="F622" s="1"/>
  <c r="E619"/>
  <c r="E622" s="1"/>
  <c r="D619"/>
  <c r="K614"/>
  <c r="D614"/>
  <c r="G611"/>
  <c r="F611"/>
  <c r="F614" s="1"/>
  <c r="E611"/>
  <c r="D611"/>
  <c r="I610"/>
  <c r="J610" s="1"/>
  <c r="L610" s="1"/>
  <c r="L611" s="1"/>
  <c r="H610"/>
  <c r="I609"/>
  <c r="I611" s="1"/>
  <c r="H609"/>
  <c r="L607"/>
  <c r="F607"/>
  <c r="E607"/>
  <c r="D607"/>
  <c r="K602"/>
  <c r="F602"/>
  <c r="E602"/>
  <c r="D602"/>
  <c r="G601"/>
  <c r="G602" s="1"/>
  <c r="G599"/>
  <c r="D599"/>
  <c r="H598"/>
  <c r="K596"/>
  <c r="G596"/>
  <c r="F596"/>
  <c r="F599" s="1"/>
  <c r="E596"/>
  <c r="E599" s="1"/>
  <c r="D596"/>
  <c r="J595"/>
  <c r="L595" s="1"/>
  <c r="H595"/>
  <c r="H596" s="1"/>
  <c r="G592"/>
  <c r="D592"/>
  <c r="I591"/>
  <c r="J591" s="1"/>
  <c r="L591" s="1"/>
  <c r="L592" s="1"/>
  <c r="H591"/>
  <c r="G589"/>
  <c r="F589"/>
  <c r="F592" s="1"/>
  <c r="E589"/>
  <c r="E592" s="1"/>
  <c r="D589"/>
  <c r="I588"/>
  <c r="I589" s="1"/>
  <c r="H588"/>
  <c r="H589" s="1"/>
  <c r="D586"/>
  <c r="G583"/>
  <c r="I583" s="1"/>
  <c r="F583"/>
  <c r="F586" s="1"/>
  <c r="E583"/>
  <c r="E586" s="1"/>
  <c r="D583"/>
  <c r="I582"/>
  <c r="J582" s="1"/>
  <c r="L582" s="1"/>
  <c r="L583" s="1"/>
  <c r="H582"/>
  <c r="K579"/>
  <c r="G579"/>
  <c r="F579"/>
  <c r="E579"/>
  <c r="D579"/>
  <c r="I578"/>
  <c r="J578" s="1"/>
  <c r="L578" s="1"/>
  <c r="L579" s="1"/>
  <c r="H578"/>
  <c r="D576"/>
  <c r="H576" s="1"/>
  <c r="J576" s="1"/>
  <c r="L572"/>
  <c r="L576" s="1"/>
  <c r="K572"/>
  <c r="F572"/>
  <c r="F576" s="1"/>
  <c r="E572"/>
  <c r="E576" s="1"/>
  <c r="D572"/>
  <c r="L569"/>
  <c r="K569"/>
  <c r="F569"/>
  <c r="E569"/>
  <c r="D569"/>
  <c r="I566"/>
  <c r="D563"/>
  <c r="H562"/>
  <c r="J562" s="1"/>
  <c r="L560"/>
  <c r="F560"/>
  <c r="F563" s="1"/>
  <c r="E560"/>
  <c r="E563" s="1"/>
  <c r="D560"/>
  <c r="L557"/>
  <c r="F557"/>
  <c r="E557"/>
  <c r="D557"/>
  <c r="L553"/>
  <c r="F553"/>
  <c r="E553"/>
  <c r="D553"/>
  <c r="D550"/>
  <c r="G549"/>
  <c r="I549" s="1"/>
  <c r="J549" s="1"/>
  <c r="L549" s="1"/>
  <c r="I547"/>
  <c r="J547" s="1"/>
  <c r="L547" s="1"/>
  <c r="H547"/>
  <c r="I545"/>
  <c r="J545" s="1"/>
  <c r="L545" s="1"/>
  <c r="H545"/>
  <c r="I544"/>
  <c r="J544" s="1"/>
  <c r="L544" s="1"/>
  <c r="H544"/>
  <c r="I543"/>
  <c r="F540"/>
  <c r="E540"/>
  <c r="D540"/>
  <c r="I539"/>
  <c r="J539" s="1"/>
  <c r="L539" s="1"/>
  <c r="H539"/>
  <c r="I537"/>
  <c r="J537" s="1"/>
  <c r="L537" s="1"/>
  <c r="I533"/>
  <c r="J533" s="1"/>
  <c r="L533" s="1"/>
  <c r="H533"/>
  <c r="I529"/>
  <c r="J529" s="1"/>
  <c r="L529" s="1"/>
  <c r="H529"/>
  <c r="I528"/>
  <c r="J528" s="1"/>
  <c r="L528" s="1"/>
  <c r="H528"/>
  <c r="I527"/>
  <c r="J527" s="1"/>
  <c r="L527" s="1"/>
  <c r="H527"/>
  <c r="I526"/>
  <c r="J526" s="1"/>
  <c r="L526" s="1"/>
  <c r="H526"/>
  <c r="I522"/>
  <c r="J522" s="1"/>
  <c r="L522" s="1"/>
  <c r="H522"/>
  <c r="I521"/>
  <c r="J521" s="1"/>
  <c r="L521" s="1"/>
  <c r="H521"/>
  <c r="E520"/>
  <c r="E629" s="1"/>
  <c r="D520"/>
  <c r="F9" i="5"/>
  <c r="F14"/>
  <c r="F16"/>
  <c r="F18"/>
  <c r="K480" i="1"/>
  <c r="K479"/>
  <c r="K478"/>
  <c r="K459"/>
  <c r="K458"/>
  <c r="K449"/>
  <c r="K447"/>
  <c r="K448"/>
  <c r="K433"/>
  <c r="K432"/>
  <c r="K430"/>
  <c r="K429"/>
  <c r="K428"/>
  <c r="K416"/>
  <c r="G484"/>
  <c r="G472"/>
  <c r="G469"/>
  <c r="G465"/>
  <c r="G462"/>
  <c r="G456"/>
  <c r="G452"/>
  <c r="G436"/>
  <c r="G393"/>
  <c r="H395"/>
  <c r="I395"/>
  <c r="J395" s="1"/>
  <c r="L395" s="1"/>
  <c r="I394"/>
  <c r="G419"/>
  <c r="I400"/>
  <c r="I401"/>
  <c r="I399"/>
  <c r="J399" s="1"/>
  <c r="K436"/>
  <c r="K435"/>
  <c r="H435"/>
  <c r="J435" s="1"/>
  <c r="L435" s="1"/>
  <c r="I435"/>
  <c r="I436" s="1"/>
  <c r="I420"/>
  <c r="G405"/>
  <c r="G411"/>
  <c r="K417"/>
  <c r="K418"/>
  <c r="H417"/>
  <c r="K502"/>
  <c r="K484"/>
  <c r="K423"/>
  <c r="K413"/>
  <c r="K396"/>
  <c r="K357"/>
  <c r="K375"/>
  <c r="K296"/>
  <c r="K286"/>
  <c r="K269"/>
  <c r="K248"/>
  <c r="K230"/>
  <c r="K169"/>
  <c r="K159"/>
  <c r="K142"/>
  <c r="K394"/>
  <c r="K395"/>
  <c r="K393"/>
  <c r="K475"/>
  <c r="K472"/>
  <c r="K469"/>
  <c r="K465"/>
  <c r="K462"/>
  <c r="K456"/>
  <c r="K452"/>
  <c r="K420"/>
  <c r="K421"/>
  <c r="K422"/>
  <c r="K419"/>
  <c r="K415"/>
  <c r="K399"/>
  <c r="K400"/>
  <c r="K401"/>
  <c r="K402"/>
  <c r="K403"/>
  <c r="K404"/>
  <c r="K405"/>
  <c r="K406"/>
  <c r="K407"/>
  <c r="K408"/>
  <c r="K409"/>
  <c r="K410"/>
  <c r="K411"/>
  <c r="K412"/>
  <c r="K398"/>
  <c r="K272"/>
  <c r="K268"/>
  <c r="K267"/>
  <c r="K266"/>
  <c r="K356"/>
  <c r="K355"/>
  <c r="K347"/>
  <c r="K344"/>
  <c r="K341"/>
  <c r="K337"/>
  <c r="K334"/>
  <c r="K328"/>
  <c r="K324"/>
  <c r="K293"/>
  <c r="K294"/>
  <c r="K295"/>
  <c r="K292"/>
  <c r="K288"/>
  <c r="K273"/>
  <c r="K274"/>
  <c r="K275"/>
  <c r="K276"/>
  <c r="K277"/>
  <c r="K278"/>
  <c r="K279"/>
  <c r="K280"/>
  <c r="K281"/>
  <c r="K282"/>
  <c r="K283"/>
  <c r="K284"/>
  <c r="K285"/>
  <c r="K271"/>
  <c r="K139"/>
  <c r="K141"/>
  <c r="K140"/>
  <c r="K229"/>
  <c r="K228"/>
  <c r="K220"/>
  <c r="K217"/>
  <c r="K214"/>
  <c r="K210"/>
  <c r="K207"/>
  <c r="K201"/>
  <c r="K197"/>
  <c r="K166"/>
  <c r="K167"/>
  <c r="K168"/>
  <c r="K165"/>
  <c r="K161"/>
  <c r="K145"/>
  <c r="K146"/>
  <c r="K147"/>
  <c r="K148"/>
  <c r="K149"/>
  <c r="K150"/>
  <c r="K151"/>
  <c r="K152"/>
  <c r="K153"/>
  <c r="K154"/>
  <c r="K155"/>
  <c r="K156"/>
  <c r="K157"/>
  <c r="K158"/>
  <c r="K144"/>
  <c r="I275"/>
  <c r="I279"/>
  <c r="I285"/>
  <c r="P357"/>
  <c r="P358"/>
  <c r="P359"/>
  <c r="P360"/>
  <c r="P361"/>
  <c r="P356"/>
  <c r="H520" l="1"/>
  <c r="H535"/>
  <c r="I779"/>
  <c r="I536"/>
  <c r="J536" s="1"/>
  <c r="L536" s="1"/>
  <c r="I538"/>
  <c r="J538" s="1"/>
  <c r="L538" s="1"/>
  <c r="H792"/>
  <c r="H548"/>
  <c r="H534"/>
  <c r="H602"/>
  <c r="D650"/>
  <c r="J865"/>
  <c r="H549"/>
  <c r="H592"/>
  <c r="H601"/>
  <c r="J611"/>
  <c r="H563"/>
  <c r="J563" s="1"/>
  <c r="D777"/>
  <c r="D883" s="1"/>
  <c r="H830"/>
  <c r="J830" s="1"/>
  <c r="J833"/>
  <c r="H837"/>
  <c r="J849"/>
  <c r="L849" s="1"/>
  <c r="H865"/>
  <c r="I811"/>
  <c r="G804"/>
  <c r="H687"/>
  <c r="H703"/>
  <c r="J703" s="1"/>
  <c r="H706"/>
  <c r="H719"/>
  <c r="H726"/>
  <c r="H734"/>
  <c r="I738"/>
  <c r="J738" s="1"/>
  <c r="I861"/>
  <c r="J861" s="1"/>
  <c r="H861"/>
  <c r="H811"/>
  <c r="J811"/>
  <c r="L811" s="1"/>
  <c r="J809"/>
  <c r="L809" s="1"/>
  <c r="J840"/>
  <c r="L840" s="1"/>
  <c r="H804"/>
  <c r="H1010"/>
  <c r="O1010"/>
  <c r="J1264"/>
  <c r="L1264" s="1"/>
  <c r="I853"/>
  <c r="J853" s="1"/>
  <c r="H840"/>
  <c r="N791"/>
  <c r="D523"/>
  <c r="H583"/>
  <c r="J598"/>
  <c r="L598" s="1"/>
  <c r="L599" s="1"/>
  <c r="H611"/>
  <c r="H607"/>
  <c r="G540"/>
  <c r="H540" s="1"/>
  <c r="H560"/>
  <c r="G677"/>
  <c r="H677" s="1"/>
  <c r="J706"/>
  <c r="H710"/>
  <c r="H738"/>
  <c r="H814"/>
  <c r="H817"/>
  <c r="J817" s="1"/>
  <c r="L830"/>
  <c r="H833"/>
  <c r="J837"/>
  <c r="J846"/>
  <c r="H846"/>
  <c r="H853"/>
  <c r="I1036" i="15"/>
  <c r="J1036" s="1"/>
  <c r="L1036" s="1"/>
  <c r="J930"/>
  <c r="L930" s="1"/>
  <c r="I1164"/>
  <c r="J1164" s="1"/>
  <c r="L1164" s="1"/>
  <c r="J1058"/>
  <c r="L1058" s="1"/>
  <c r="I562"/>
  <c r="J562" s="1"/>
  <c r="L562" s="1"/>
  <c r="J456"/>
  <c r="L456" s="1"/>
  <c r="N456"/>
  <c r="H1036"/>
  <c r="N1036"/>
  <c r="I720"/>
  <c r="J720" s="1"/>
  <c r="L720" s="1"/>
  <c r="J614"/>
  <c r="L614" s="1"/>
  <c r="I1010" i="1"/>
  <c r="J1010" s="1"/>
  <c r="L1010" s="1"/>
  <c r="J904"/>
  <c r="L904" s="1"/>
  <c r="J845"/>
  <c r="L845" s="1"/>
  <c r="L846" s="1"/>
  <c r="J842"/>
  <c r="L842" s="1"/>
  <c r="L843" s="1"/>
  <c r="J801"/>
  <c r="L801" s="1"/>
  <c r="I856"/>
  <c r="J856" s="1"/>
  <c r="J855"/>
  <c r="L855" s="1"/>
  <c r="L856" s="1"/>
  <c r="I774"/>
  <c r="J774" s="1"/>
  <c r="L774" s="1"/>
  <c r="I788"/>
  <c r="J788" s="1"/>
  <c r="L788" s="1"/>
  <c r="I789"/>
  <c r="J789" s="1"/>
  <c r="L789" s="1"/>
  <c r="I790"/>
  <c r="J790" s="1"/>
  <c r="L790" s="1"/>
  <c r="I791"/>
  <c r="J791" s="1"/>
  <c r="L791" s="1"/>
  <c r="I792"/>
  <c r="J792" s="1"/>
  <c r="L792" s="1"/>
  <c r="G794"/>
  <c r="I802"/>
  <c r="J802" s="1"/>
  <c r="L802" s="1"/>
  <c r="I803"/>
  <c r="J803" s="1"/>
  <c r="L803" s="1"/>
  <c r="I814"/>
  <c r="J814" s="1"/>
  <c r="L814" s="1"/>
  <c r="H774"/>
  <c r="I800"/>
  <c r="J800" s="1"/>
  <c r="L800" s="1"/>
  <c r="J843"/>
  <c r="J850"/>
  <c r="L850" s="1"/>
  <c r="H855"/>
  <c r="G856"/>
  <c r="H856" s="1"/>
  <c r="J863"/>
  <c r="L863" s="1"/>
  <c r="D629"/>
  <c r="H579"/>
  <c r="J583"/>
  <c r="J588"/>
  <c r="L588" s="1"/>
  <c r="L589" s="1"/>
  <c r="J609"/>
  <c r="L609" s="1"/>
  <c r="I607"/>
  <c r="J607" s="1"/>
  <c r="I560"/>
  <c r="J560" s="1"/>
  <c r="H728"/>
  <c r="L562"/>
  <c r="L563" s="1"/>
  <c r="D756"/>
  <c r="G667"/>
  <c r="H657"/>
  <c r="H659"/>
  <c r="H673"/>
  <c r="H690"/>
  <c r="J690" s="1"/>
  <c r="J710"/>
  <c r="J736"/>
  <c r="L736" s="1"/>
  <c r="L690"/>
  <c r="H667"/>
  <c r="I729"/>
  <c r="J729" s="1"/>
  <c r="J728"/>
  <c r="L728" s="1"/>
  <c r="L729" s="1"/>
  <c r="H647"/>
  <c r="I652"/>
  <c r="I667" s="1"/>
  <c r="J667" s="1"/>
  <c r="L667" s="1"/>
  <c r="H661"/>
  <c r="H662"/>
  <c r="H663"/>
  <c r="H664"/>
  <c r="H665"/>
  <c r="I673"/>
  <c r="J673" s="1"/>
  <c r="L673" s="1"/>
  <c r="H675"/>
  <c r="H676"/>
  <c r="J686"/>
  <c r="G729"/>
  <c r="H729" s="1"/>
  <c r="I734"/>
  <c r="J734" s="1"/>
  <c r="I647"/>
  <c r="J647" s="1"/>
  <c r="L647" s="1"/>
  <c r="J715"/>
  <c r="J718"/>
  <c r="L718" s="1"/>
  <c r="L719" s="1"/>
  <c r="J722"/>
  <c r="J725"/>
  <c r="L725" s="1"/>
  <c r="L726" s="1"/>
  <c r="J599"/>
  <c r="I525"/>
  <c r="I530"/>
  <c r="J530" s="1"/>
  <c r="L530" s="1"/>
  <c r="I531"/>
  <c r="J531" s="1"/>
  <c r="L531" s="1"/>
  <c r="I532"/>
  <c r="J532" s="1"/>
  <c r="L532" s="1"/>
  <c r="I546"/>
  <c r="J546" s="1"/>
  <c r="L546" s="1"/>
  <c r="G550"/>
  <c r="H550" s="1"/>
  <c r="I520"/>
  <c r="J520" s="1"/>
  <c r="L520" s="1"/>
  <c r="H525"/>
  <c r="J525" s="1"/>
  <c r="L525" s="1"/>
  <c r="I579"/>
  <c r="J579" s="1"/>
  <c r="I592"/>
  <c r="J592" s="1"/>
  <c r="J596"/>
  <c r="L596" s="1"/>
  <c r="H599"/>
  <c r="I601"/>
  <c r="F20" i="5"/>
  <c r="N362" i="1"/>
  <c r="F502"/>
  <c r="K501"/>
  <c r="D501"/>
  <c r="K498"/>
  <c r="D498"/>
  <c r="K495"/>
  <c r="D495"/>
  <c r="L492"/>
  <c r="K492"/>
  <c r="I492"/>
  <c r="F492"/>
  <c r="F495" s="1"/>
  <c r="E492"/>
  <c r="E495" s="1"/>
  <c r="D492"/>
  <c r="K487"/>
  <c r="D487"/>
  <c r="F484"/>
  <c r="F487" s="1"/>
  <c r="E484"/>
  <c r="D484"/>
  <c r="I483"/>
  <c r="H483"/>
  <c r="I482"/>
  <c r="I484" s="1"/>
  <c r="H482"/>
  <c r="L480"/>
  <c r="F480"/>
  <c r="E480"/>
  <c r="D480"/>
  <c r="F475"/>
  <c r="E475"/>
  <c r="D475"/>
  <c r="G474"/>
  <c r="I472"/>
  <c r="D472"/>
  <c r="J471"/>
  <c r="L471" s="1"/>
  <c r="L472" s="1"/>
  <c r="H471"/>
  <c r="F469"/>
  <c r="F472" s="1"/>
  <c r="E469"/>
  <c r="E472" s="1"/>
  <c r="D469"/>
  <c r="I468"/>
  <c r="D465"/>
  <c r="H465" s="1"/>
  <c r="I464"/>
  <c r="I465" s="1"/>
  <c r="H464"/>
  <c r="F462"/>
  <c r="F465" s="1"/>
  <c r="E462"/>
  <c r="E465" s="1"/>
  <c r="D462"/>
  <c r="I461"/>
  <c r="I462" s="1"/>
  <c r="H461"/>
  <c r="H462" s="1"/>
  <c r="D459"/>
  <c r="I456"/>
  <c r="F456"/>
  <c r="F459" s="1"/>
  <c r="E456"/>
  <c r="E459" s="1"/>
  <c r="D456"/>
  <c r="H456" s="1"/>
  <c r="I455"/>
  <c r="H455"/>
  <c r="I452"/>
  <c r="F452"/>
  <c r="E452"/>
  <c r="D452"/>
  <c r="I451"/>
  <c r="H451"/>
  <c r="D449"/>
  <c r="L445"/>
  <c r="L449" s="1"/>
  <c r="K445"/>
  <c r="F445"/>
  <c r="F449" s="1"/>
  <c r="E445"/>
  <c r="E449" s="1"/>
  <c r="D445"/>
  <c r="L442"/>
  <c r="K442"/>
  <c r="F442"/>
  <c r="E442"/>
  <c r="D442"/>
  <c r="I439"/>
  <c r="D436"/>
  <c r="H436" s="1"/>
  <c r="J436" s="1"/>
  <c r="L433"/>
  <c r="L436" s="1"/>
  <c r="F433"/>
  <c r="F436" s="1"/>
  <c r="E433"/>
  <c r="E436" s="1"/>
  <c r="D433"/>
  <c r="L430"/>
  <c r="F430"/>
  <c r="E430"/>
  <c r="D430"/>
  <c r="L426"/>
  <c r="K426"/>
  <c r="F426"/>
  <c r="E426"/>
  <c r="D426"/>
  <c r="D423"/>
  <c r="G422"/>
  <c r="I422" s="1"/>
  <c r="G421"/>
  <c r="H420"/>
  <c r="I419"/>
  <c r="H419"/>
  <c r="I418"/>
  <c r="H418"/>
  <c r="I417"/>
  <c r="J417" s="1"/>
  <c r="L417" s="1"/>
  <c r="I416"/>
  <c r="F413"/>
  <c r="E413"/>
  <c r="D413"/>
  <c r="I412"/>
  <c r="H412"/>
  <c r="H411"/>
  <c r="I411"/>
  <c r="G410"/>
  <c r="I410" s="1"/>
  <c r="G409"/>
  <c r="I409" s="1"/>
  <c r="G408"/>
  <c r="I408" s="1"/>
  <c r="G407"/>
  <c r="I407" s="1"/>
  <c r="I406"/>
  <c r="J406" s="1"/>
  <c r="L406" s="1"/>
  <c r="H406"/>
  <c r="I405"/>
  <c r="G404"/>
  <c r="I404" s="1"/>
  <c r="G403"/>
  <c r="I403" s="1"/>
  <c r="I402"/>
  <c r="H402"/>
  <c r="J401"/>
  <c r="L401" s="1"/>
  <c r="H401"/>
  <c r="J400"/>
  <c r="L400" s="1"/>
  <c r="H400"/>
  <c r="L399"/>
  <c r="H399"/>
  <c r="G398"/>
  <c r="H398" s="1"/>
  <c r="J398" s="1"/>
  <c r="L398" s="1"/>
  <c r="J394"/>
  <c r="L394" s="1"/>
  <c r="E393"/>
  <c r="E502" s="1"/>
  <c r="D393"/>
  <c r="H393" s="1"/>
  <c r="G274"/>
  <c r="I274" s="1"/>
  <c r="J274" s="1"/>
  <c r="L274" s="1"/>
  <c r="G273"/>
  <c r="I273" s="1"/>
  <c r="J273" s="1"/>
  <c r="L273" s="1"/>
  <c r="G272"/>
  <c r="I272" s="1"/>
  <c r="J272" s="1"/>
  <c r="L272" s="1"/>
  <c r="G357"/>
  <c r="H356"/>
  <c r="H355"/>
  <c r="I355"/>
  <c r="G341"/>
  <c r="N342" s="1"/>
  <c r="I334"/>
  <c r="H334"/>
  <c r="H335" s="1"/>
  <c r="G335"/>
  <c r="H337"/>
  <c r="I337"/>
  <c r="G338"/>
  <c r="H291"/>
  <c r="G284"/>
  <c r="I284" s="1"/>
  <c r="G283"/>
  <c r="I283" s="1"/>
  <c r="G282"/>
  <c r="I282" s="1"/>
  <c r="G281"/>
  <c r="I281" s="1"/>
  <c r="J281" s="1"/>
  <c r="L281" s="1"/>
  <c r="G278"/>
  <c r="I278" s="1"/>
  <c r="G277"/>
  <c r="I277" s="1"/>
  <c r="J277" s="1"/>
  <c r="L277" s="1"/>
  <c r="G276"/>
  <c r="I276" s="1"/>
  <c r="G280"/>
  <c r="I280" s="1"/>
  <c r="G271"/>
  <c r="H271" s="1"/>
  <c r="J271" s="1"/>
  <c r="L271" s="1"/>
  <c r="F375"/>
  <c r="K374"/>
  <c r="D374"/>
  <c r="K371"/>
  <c r="D371"/>
  <c r="K368"/>
  <c r="D368"/>
  <c r="L365"/>
  <c r="K365"/>
  <c r="I365"/>
  <c r="F365"/>
  <c r="F368" s="1"/>
  <c r="E365"/>
  <c r="E368" s="1"/>
  <c r="D365"/>
  <c r="K360"/>
  <c r="D360"/>
  <c r="F357"/>
  <c r="F360" s="1"/>
  <c r="E357"/>
  <c r="D357"/>
  <c r="H357" s="1"/>
  <c r="I356"/>
  <c r="I357" s="1"/>
  <c r="L353"/>
  <c r="K353"/>
  <c r="F353"/>
  <c r="E353"/>
  <c r="D353"/>
  <c r="K348"/>
  <c r="F348"/>
  <c r="E348"/>
  <c r="D348"/>
  <c r="G347"/>
  <c r="H347" s="1"/>
  <c r="I345"/>
  <c r="G345"/>
  <c r="D345"/>
  <c r="K345"/>
  <c r="J344"/>
  <c r="L344" s="1"/>
  <c r="L345" s="1"/>
  <c r="H344"/>
  <c r="F342"/>
  <c r="F345" s="1"/>
  <c r="E342"/>
  <c r="E345" s="1"/>
  <c r="D342"/>
  <c r="K342"/>
  <c r="D338"/>
  <c r="K338"/>
  <c r="K335"/>
  <c r="F335"/>
  <c r="F338" s="1"/>
  <c r="E335"/>
  <c r="E338" s="1"/>
  <c r="D335"/>
  <c r="K332"/>
  <c r="D332"/>
  <c r="I329"/>
  <c r="F329"/>
  <c r="F332" s="1"/>
  <c r="E329"/>
  <c r="E332" s="1"/>
  <c r="D329"/>
  <c r="H329" s="1"/>
  <c r="K329"/>
  <c r="I328"/>
  <c r="H328"/>
  <c r="G325"/>
  <c r="F325"/>
  <c r="E325"/>
  <c r="D325"/>
  <c r="K325"/>
  <c r="I324"/>
  <c r="H324"/>
  <c r="K322"/>
  <c r="D322"/>
  <c r="L318"/>
  <c r="L322" s="1"/>
  <c r="K318"/>
  <c r="F318"/>
  <c r="F322" s="1"/>
  <c r="E318"/>
  <c r="E322" s="1"/>
  <c r="D318"/>
  <c r="L315"/>
  <c r="K315"/>
  <c r="F315"/>
  <c r="E315"/>
  <c r="D315"/>
  <c r="I312"/>
  <c r="K309"/>
  <c r="D309"/>
  <c r="L306"/>
  <c r="L309" s="1"/>
  <c r="K306"/>
  <c r="F306"/>
  <c r="F309" s="1"/>
  <c r="E306"/>
  <c r="E309" s="1"/>
  <c r="D306"/>
  <c r="L303"/>
  <c r="K303"/>
  <c r="F303"/>
  <c r="E303"/>
  <c r="D303"/>
  <c r="L299"/>
  <c r="K299"/>
  <c r="F299"/>
  <c r="E299"/>
  <c r="D299"/>
  <c r="D296"/>
  <c r="G295"/>
  <c r="H295" s="1"/>
  <c r="G294"/>
  <c r="H294" s="1"/>
  <c r="I293"/>
  <c r="H293"/>
  <c r="I292"/>
  <c r="J292" s="1"/>
  <c r="L292" s="1"/>
  <c r="H292"/>
  <c r="I291"/>
  <c r="J291" s="1"/>
  <c r="I290"/>
  <c r="I289"/>
  <c r="F286"/>
  <c r="E286"/>
  <c r="D286"/>
  <c r="H285"/>
  <c r="H284"/>
  <c r="J283"/>
  <c r="L283" s="1"/>
  <c r="J279"/>
  <c r="L279" s="1"/>
  <c r="H279"/>
  <c r="H275"/>
  <c r="H267"/>
  <c r="E266"/>
  <c r="E375" s="1"/>
  <c r="D266"/>
  <c r="H266" s="1"/>
  <c r="D139"/>
  <c r="K208"/>
  <c r="K211"/>
  <c r="K198"/>
  <c r="K218"/>
  <c r="K205"/>
  <c r="K215"/>
  <c r="K233"/>
  <c r="K241"/>
  <c r="K244"/>
  <c r="K247"/>
  <c r="K195"/>
  <c r="K188"/>
  <c r="K182"/>
  <c r="K202"/>
  <c r="G139"/>
  <c r="I271" l="1"/>
  <c r="H280"/>
  <c r="H274"/>
  <c r="H277"/>
  <c r="H276"/>
  <c r="H272"/>
  <c r="H281"/>
  <c r="H283"/>
  <c r="H273"/>
  <c r="H278"/>
  <c r="H282"/>
  <c r="D396"/>
  <c r="J589"/>
  <c r="J484"/>
  <c r="G777"/>
  <c r="I804"/>
  <c r="J804" s="1"/>
  <c r="L804" s="1"/>
  <c r="H794"/>
  <c r="I794"/>
  <c r="J794" s="1"/>
  <c r="L794" s="1"/>
  <c r="J601"/>
  <c r="I602"/>
  <c r="I550"/>
  <c r="J550" s="1"/>
  <c r="L550" s="1"/>
  <c r="G523"/>
  <c r="G629" s="1"/>
  <c r="H629" s="1"/>
  <c r="I677"/>
  <c r="J677" s="1"/>
  <c r="L677" s="1"/>
  <c r="L722"/>
  <c r="J723"/>
  <c r="L723" s="1"/>
  <c r="L715"/>
  <c r="L716" s="1"/>
  <c r="J716"/>
  <c r="G650"/>
  <c r="I540"/>
  <c r="J540" s="1"/>
  <c r="L540" s="1"/>
  <c r="J602"/>
  <c r="L601"/>
  <c r="L602" s="1"/>
  <c r="G423"/>
  <c r="I398"/>
  <c r="G413"/>
  <c r="G475"/>
  <c r="H475" s="1"/>
  <c r="H423"/>
  <c r="D269"/>
  <c r="D375" s="1"/>
  <c r="J357"/>
  <c r="L357" s="1"/>
  <c r="H394"/>
  <c r="D502"/>
  <c r="J452"/>
  <c r="J465"/>
  <c r="H472"/>
  <c r="J329"/>
  <c r="J345"/>
  <c r="H338"/>
  <c r="I338"/>
  <c r="J338" s="1"/>
  <c r="I335"/>
  <c r="H409"/>
  <c r="J324"/>
  <c r="L324" s="1"/>
  <c r="L325" s="1"/>
  <c r="H325"/>
  <c r="J328"/>
  <c r="L328" s="1"/>
  <c r="L329" s="1"/>
  <c r="H345"/>
  <c r="J337"/>
  <c r="L337" s="1"/>
  <c r="L338" s="1"/>
  <c r="J334"/>
  <c r="G342"/>
  <c r="J355"/>
  <c r="L355" s="1"/>
  <c r="H403"/>
  <c r="H408"/>
  <c r="H410"/>
  <c r="J456"/>
  <c r="J472"/>
  <c r="H484"/>
  <c r="O363"/>
  <c r="O365" s="1"/>
  <c r="N364"/>
  <c r="J275"/>
  <c r="L275" s="1"/>
  <c r="J280"/>
  <c r="L280" s="1"/>
  <c r="J285"/>
  <c r="L285" s="1"/>
  <c r="G286"/>
  <c r="H341"/>
  <c r="H342" s="1"/>
  <c r="I341"/>
  <c r="J356"/>
  <c r="L356" s="1"/>
  <c r="J461"/>
  <c r="H468"/>
  <c r="H469" s="1"/>
  <c r="J403"/>
  <c r="L403" s="1"/>
  <c r="J404"/>
  <c r="L404" s="1"/>
  <c r="J405"/>
  <c r="L405" s="1"/>
  <c r="J408"/>
  <c r="L408" s="1"/>
  <c r="J410"/>
  <c r="L410" s="1"/>
  <c r="J407"/>
  <c r="L407" s="1"/>
  <c r="J409"/>
  <c r="L409" s="1"/>
  <c r="J411"/>
  <c r="L411" s="1"/>
  <c r="J422"/>
  <c r="L422" s="1"/>
  <c r="I469"/>
  <c r="J468"/>
  <c r="I393"/>
  <c r="J393" s="1"/>
  <c r="L393" s="1"/>
  <c r="J402"/>
  <c r="L402" s="1"/>
  <c r="H404"/>
  <c r="H405"/>
  <c r="H407"/>
  <c r="J412"/>
  <c r="L412" s="1"/>
  <c r="J418"/>
  <c r="L418" s="1"/>
  <c r="J419"/>
  <c r="L419" s="1"/>
  <c r="J420"/>
  <c r="L420" s="1"/>
  <c r="H421"/>
  <c r="H422"/>
  <c r="H452"/>
  <c r="H474"/>
  <c r="J482"/>
  <c r="L482" s="1"/>
  <c r="I421"/>
  <c r="I423" s="1"/>
  <c r="J451"/>
  <c r="L451" s="1"/>
  <c r="L452" s="1"/>
  <c r="J455"/>
  <c r="L455" s="1"/>
  <c r="L456" s="1"/>
  <c r="J464"/>
  <c r="L464" s="1"/>
  <c r="L465" s="1"/>
  <c r="I474"/>
  <c r="J483"/>
  <c r="L483" s="1"/>
  <c r="L484" s="1"/>
  <c r="L291"/>
  <c r="I286"/>
  <c r="J286" s="1"/>
  <c r="L286" s="1"/>
  <c r="J276"/>
  <c r="L276" s="1"/>
  <c r="I266"/>
  <c r="J266" s="1"/>
  <c r="L266" s="1"/>
  <c r="I267"/>
  <c r="J267" s="1"/>
  <c r="L267" s="1"/>
  <c r="H286"/>
  <c r="I294"/>
  <c r="I295"/>
  <c r="G296"/>
  <c r="I325"/>
  <c r="J325" s="1"/>
  <c r="I347"/>
  <c r="G348"/>
  <c r="H348" s="1"/>
  <c r="J278"/>
  <c r="L278" s="1"/>
  <c r="J282"/>
  <c r="L282" s="1"/>
  <c r="J284"/>
  <c r="L284" s="1"/>
  <c r="J293"/>
  <c r="L293" s="1"/>
  <c r="O165"/>
  <c r="O166" s="1"/>
  <c r="O217"/>
  <c r="G159"/>
  <c r="G218"/>
  <c r="G198"/>
  <c r="I198" s="1"/>
  <c r="I165"/>
  <c r="I202"/>
  <c r="I201"/>
  <c r="H201"/>
  <c r="I197"/>
  <c r="H197"/>
  <c r="G168"/>
  <c r="I168" s="1"/>
  <c r="G167"/>
  <c r="I167" s="1"/>
  <c r="H166"/>
  <c r="I166"/>
  <c r="J166" s="1"/>
  <c r="L166" s="1"/>
  <c r="H165"/>
  <c r="I151"/>
  <c r="I157"/>
  <c r="G220"/>
  <c r="G221" s="1"/>
  <c r="I144"/>
  <c r="I156"/>
  <c r="J156" s="1"/>
  <c r="L156" s="1"/>
  <c r="J157"/>
  <c r="L157" s="1"/>
  <c r="I158"/>
  <c r="H157"/>
  <c r="H158"/>
  <c r="I155"/>
  <c r="I153"/>
  <c r="J153" s="1"/>
  <c r="L153" s="1"/>
  <c r="I148"/>
  <c r="E159"/>
  <c r="I218"/>
  <c r="J217"/>
  <c r="L217" s="1"/>
  <c r="L218" s="1"/>
  <c r="H217"/>
  <c r="G140"/>
  <c r="H140" s="1"/>
  <c r="F248"/>
  <c r="D247"/>
  <c r="D244"/>
  <c r="D241"/>
  <c r="L238"/>
  <c r="K238"/>
  <c r="I238"/>
  <c r="F238"/>
  <c r="F241" s="1"/>
  <c r="E238"/>
  <c r="E241" s="1"/>
  <c r="D238"/>
  <c r="D233"/>
  <c r="F230"/>
  <c r="F233" s="1"/>
  <c r="E230"/>
  <c r="D230"/>
  <c r="I229"/>
  <c r="I230" s="1"/>
  <c r="L226"/>
  <c r="K226"/>
  <c r="F226"/>
  <c r="E226"/>
  <c r="D226"/>
  <c r="K221"/>
  <c r="F221"/>
  <c r="E221"/>
  <c r="D221"/>
  <c r="D218"/>
  <c r="H218" s="1"/>
  <c r="L215"/>
  <c r="F215"/>
  <c r="F218" s="1"/>
  <c r="E215"/>
  <c r="E218" s="1"/>
  <c r="D215"/>
  <c r="L211"/>
  <c r="D211"/>
  <c r="F208"/>
  <c r="F211" s="1"/>
  <c r="E208"/>
  <c r="E211" s="1"/>
  <c r="D208"/>
  <c r="D205"/>
  <c r="F202"/>
  <c r="F205" s="1"/>
  <c r="E202"/>
  <c r="E205" s="1"/>
  <c r="D202"/>
  <c r="H202" s="1"/>
  <c r="F198"/>
  <c r="E198"/>
  <c r="D198"/>
  <c r="D195"/>
  <c r="L191"/>
  <c r="L195" s="1"/>
  <c r="K191"/>
  <c r="F191"/>
  <c r="F195" s="1"/>
  <c r="E191"/>
  <c r="E195" s="1"/>
  <c r="D191"/>
  <c r="L188"/>
  <c r="F188"/>
  <c r="E188"/>
  <c r="D188"/>
  <c r="I185"/>
  <c r="D182"/>
  <c r="L179"/>
  <c r="L182" s="1"/>
  <c r="K179"/>
  <c r="F179"/>
  <c r="F182" s="1"/>
  <c r="E179"/>
  <c r="E182" s="1"/>
  <c r="D179"/>
  <c r="L176"/>
  <c r="K176"/>
  <c r="F176"/>
  <c r="E176"/>
  <c r="D176"/>
  <c r="L172"/>
  <c r="K172"/>
  <c r="F172"/>
  <c r="E172"/>
  <c r="D172"/>
  <c r="D169"/>
  <c r="I164"/>
  <c r="I163"/>
  <c r="I162"/>
  <c r="F159"/>
  <c r="D159"/>
  <c r="H156"/>
  <c r="H155"/>
  <c r="I154"/>
  <c r="H154"/>
  <c r="H153"/>
  <c r="I152"/>
  <c r="H152"/>
  <c r="H151"/>
  <c r="I150"/>
  <c r="H150"/>
  <c r="I149"/>
  <c r="H149"/>
  <c r="H148"/>
  <c r="J147"/>
  <c r="L147" s="1"/>
  <c r="H147"/>
  <c r="J146"/>
  <c r="L146" s="1"/>
  <c r="H146"/>
  <c r="J145"/>
  <c r="L145" s="1"/>
  <c r="H145"/>
  <c r="H144"/>
  <c r="J144" s="1"/>
  <c r="L144" s="1"/>
  <c r="I139"/>
  <c r="E139"/>
  <c r="E248" s="1"/>
  <c r="J139"/>
  <c r="L139" s="1"/>
  <c r="H11"/>
  <c r="I10"/>
  <c r="D118"/>
  <c r="D115"/>
  <c r="D109"/>
  <c r="D40"/>
  <c r="H198" l="1"/>
  <c r="H167"/>
  <c r="D142"/>
  <c r="D248" s="1"/>
  <c r="I777"/>
  <c r="H777"/>
  <c r="G883"/>
  <c r="N883" s="1"/>
  <c r="H650"/>
  <c r="I650"/>
  <c r="G756"/>
  <c r="H756" s="1"/>
  <c r="H523"/>
  <c r="I523"/>
  <c r="G396"/>
  <c r="G502" s="1"/>
  <c r="H502" s="1"/>
  <c r="H413"/>
  <c r="J462"/>
  <c r="L461"/>
  <c r="L462" s="1"/>
  <c r="H159"/>
  <c r="J469"/>
  <c r="L469" s="1"/>
  <c r="L468"/>
  <c r="J335"/>
  <c r="L334"/>
  <c r="L335" s="1"/>
  <c r="I159"/>
  <c r="J159" s="1"/>
  <c r="L159" s="1"/>
  <c r="J218"/>
  <c r="H221"/>
  <c r="J197"/>
  <c r="L197" s="1"/>
  <c r="L198" s="1"/>
  <c r="J201"/>
  <c r="L201" s="1"/>
  <c r="L202" s="1"/>
  <c r="J198"/>
  <c r="J202"/>
  <c r="G269"/>
  <c r="I269" s="1"/>
  <c r="J149"/>
  <c r="L149" s="1"/>
  <c r="J152"/>
  <c r="L152" s="1"/>
  <c r="J154"/>
  <c r="L154" s="1"/>
  <c r="J168"/>
  <c r="L168" s="1"/>
  <c r="I140"/>
  <c r="J140" s="1"/>
  <c r="L140" s="1"/>
  <c r="G169"/>
  <c r="G142" s="1"/>
  <c r="J155"/>
  <c r="L155" s="1"/>
  <c r="J158"/>
  <c r="L158" s="1"/>
  <c r="J151"/>
  <c r="L151" s="1"/>
  <c r="J167"/>
  <c r="L167" s="1"/>
  <c r="J341"/>
  <c r="I342"/>
  <c r="J150"/>
  <c r="L150" s="1"/>
  <c r="I220"/>
  <c r="H220"/>
  <c r="H168"/>
  <c r="I475"/>
  <c r="J475" s="1"/>
  <c r="J474"/>
  <c r="L474" s="1"/>
  <c r="L475" s="1"/>
  <c r="J421"/>
  <c r="L421" s="1"/>
  <c r="I413"/>
  <c r="J413" s="1"/>
  <c r="L413" s="1"/>
  <c r="J423"/>
  <c r="L423" s="1"/>
  <c r="J347"/>
  <c r="L347" s="1"/>
  <c r="L348" s="1"/>
  <c r="I348"/>
  <c r="J348" s="1"/>
  <c r="H296"/>
  <c r="J294"/>
  <c r="L294" s="1"/>
  <c r="J295"/>
  <c r="L295" s="1"/>
  <c r="I296"/>
  <c r="J296" s="1"/>
  <c r="L296" s="1"/>
  <c r="I169"/>
  <c r="J169" s="1"/>
  <c r="L169" s="1"/>
  <c r="J165"/>
  <c r="L165" s="1"/>
  <c r="J148"/>
  <c r="L148" s="1"/>
  <c r="H139"/>
  <c r="E85" i="4"/>
  <c r="E22"/>
  <c r="E24"/>
  <c r="E37"/>
  <c r="E25"/>
  <c r="E5"/>
  <c r="D5"/>
  <c r="D121"/>
  <c r="E8"/>
  <c r="E121" s="1"/>
  <c r="G121" s="1"/>
  <c r="D8"/>
  <c r="H7"/>
  <c r="E87"/>
  <c r="E92"/>
  <c r="D87"/>
  <c r="E120"/>
  <c r="E83"/>
  <c r="E77"/>
  <c r="E74"/>
  <c r="E114"/>
  <c r="E105"/>
  <c r="E108" s="1"/>
  <c r="E100"/>
  <c r="E95"/>
  <c r="E80"/>
  <c r="E71"/>
  <c r="E67"/>
  <c r="E64"/>
  <c r="E60"/>
  <c r="E57"/>
  <c r="E48"/>
  <c r="E44"/>
  <c r="E40"/>
  <c r="D120"/>
  <c r="D114"/>
  <c r="D108"/>
  <c r="D100"/>
  <c r="D95"/>
  <c r="D92"/>
  <c r="D91"/>
  <c r="D90"/>
  <c r="D83"/>
  <c r="D80"/>
  <c r="D77"/>
  <c r="D73"/>
  <c r="D74" s="1"/>
  <c r="D71"/>
  <c r="D67"/>
  <c r="D64"/>
  <c r="D60"/>
  <c r="D59"/>
  <c r="D57"/>
  <c r="D54"/>
  <c r="D51"/>
  <c r="D48"/>
  <c r="D44"/>
  <c r="D39"/>
  <c r="D40" s="1"/>
  <c r="D33"/>
  <c r="D32"/>
  <c r="D28"/>
  <c r="D27"/>
  <c r="D37" s="1"/>
  <c r="D25"/>
  <c r="D23"/>
  <c r="I396" i="1" l="1"/>
  <c r="N396" s="1"/>
  <c r="H396"/>
  <c r="H883"/>
  <c r="I883"/>
  <c r="J883" s="1"/>
  <c r="L883" s="1"/>
  <c r="J777"/>
  <c r="L777" s="1"/>
  <c r="I756"/>
  <c r="J756" s="1"/>
  <c r="L756" s="1"/>
  <c r="J650"/>
  <c r="L650" s="1"/>
  <c r="I629"/>
  <c r="J629" s="1"/>
  <c r="L629" s="1"/>
  <c r="J523"/>
  <c r="L523" s="1"/>
  <c r="H169"/>
  <c r="J396"/>
  <c r="L396" s="1"/>
  <c r="J342"/>
  <c r="L341"/>
  <c r="L342" s="1"/>
  <c r="I142"/>
  <c r="G248"/>
  <c r="H248" s="1"/>
  <c r="I221"/>
  <c r="J221" s="1"/>
  <c r="J220"/>
  <c r="L220" s="1"/>
  <c r="L221" s="1"/>
  <c r="I502"/>
  <c r="J502" s="1"/>
  <c r="L502" s="1"/>
  <c r="H269"/>
  <c r="I375"/>
  <c r="J375" s="1"/>
  <c r="L375" s="1"/>
  <c r="G375"/>
  <c r="H375" s="1"/>
  <c r="H142"/>
  <c r="T23" i="3"/>
  <c r="P23"/>
  <c r="S23"/>
  <c r="O23"/>
  <c r="D10" i="1"/>
  <c r="K50"/>
  <c r="F50"/>
  <c r="E50"/>
  <c r="H20"/>
  <c r="I248" l="1"/>
  <c r="J248" s="1"/>
  <c r="L248" s="1"/>
  <c r="J142"/>
  <c r="L142" s="1"/>
  <c r="J269"/>
  <c r="L269" s="1"/>
  <c r="H10"/>
  <c r="J10"/>
  <c r="K119"/>
  <c r="G119"/>
  <c r="D30"/>
  <c r="I56"/>
  <c r="I11"/>
  <c r="J11" s="1"/>
  <c r="D89"/>
  <c r="I19"/>
  <c r="D104"/>
  <c r="D62"/>
  <c r="D101"/>
  <c r="D112"/>
  <c r="L109"/>
  <c r="K109"/>
  <c r="K112" s="1"/>
  <c r="F109"/>
  <c r="F112" s="1"/>
  <c r="E109"/>
  <c r="E112" s="1"/>
  <c r="D97"/>
  <c r="D66"/>
  <c r="D59"/>
  <c r="D50"/>
  <c r="I119" l="1"/>
  <c r="I109"/>
  <c r="D79" l="1"/>
  <c r="L92"/>
  <c r="K92"/>
  <c r="F92"/>
  <c r="E92"/>
  <c r="D92"/>
  <c r="D86"/>
  <c r="L86"/>
  <c r="L89" s="1"/>
  <c r="K86"/>
  <c r="K89" s="1"/>
  <c r="F86"/>
  <c r="F89" s="1"/>
  <c r="E86"/>
  <c r="E89" s="1"/>
  <c r="H15"/>
  <c r="D76"/>
  <c r="E59"/>
  <c r="F59"/>
  <c r="K59"/>
  <c r="L59"/>
  <c r="E101"/>
  <c r="F101"/>
  <c r="F104" s="1"/>
  <c r="I100"/>
  <c r="K97"/>
  <c r="E97"/>
  <c r="F97"/>
  <c r="L97"/>
  <c r="L82"/>
  <c r="K82"/>
  <c r="F79"/>
  <c r="F82" s="1"/>
  <c r="E79"/>
  <c r="E82" s="1"/>
  <c r="L62"/>
  <c r="L66" s="1"/>
  <c r="K62"/>
  <c r="K66" s="1"/>
  <c r="F62"/>
  <c r="F66" s="1"/>
  <c r="E62"/>
  <c r="E66" s="1"/>
  <c r="E53"/>
  <c r="F53"/>
  <c r="K53"/>
  <c r="L50"/>
  <c r="L53" s="1"/>
  <c r="H29"/>
  <c r="H28"/>
  <c r="H26"/>
  <c r="H24"/>
  <c r="H22"/>
  <c r="H18"/>
  <c r="H17"/>
  <c r="H16"/>
  <c r="J16"/>
  <c r="J17"/>
  <c r="J18"/>
  <c r="J22"/>
  <c r="J24"/>
  <c r="J26"/>
  <c r="J28"/>
  <c r="J29"/>
  <c r="I34"/>
  <c r="I35"/>
  <c r="I33"/>
  <c r="E30"/>
  <c r="F30"/>
  <c r="D82"/>
  <c r="F73"/>
  <c r="E73"/>
  <c r="D73"/>
  <c r="F69"/>
  <c r="E69"/>
  <c r="D69"/>
  <c r="D53"/>
  <c r="L47"/>
  <c r="K47"/>
  <c r="F47"/>
  <c r="E47"/>
  <c r="D47"/>
  <c r="L43"/>
  <c r="K43"/>
  <c r="F43"/>
  <c r="E43"/>
  <c r="D43"/>
  <c r="L30"/>
  <c r="K30"/>
  <c r="E10"/>
  <c r="D13" l="1"/>
  <c r="D119" s="1"/>
  <c r="H119" s="1"/>
  <c r="E76"/>
  <c r="I101"/>
  <c r="F76"/>
  <c r="J119" l="1"/>
  <c r="J13"/>
  <c r="H13"/>
  <c r="F119"/>
  <c r="E119"/>
  <c r="H25"/>
  <c r="I25"/>
  <c r="J25" s="1"/>
  <c r="H21"/>
  <c r="I21"/>
  <c r="J21" s="1"/>
  <c r="I20"/>
  <c r="J20" s="1"/>
  <c r="G30"/>
  <c r="H19"/>
  <c r="H27"/>
  <c r="I27"/>
  <c r="J27" s="1"/>
  <c r="H23"/>
  <c r="I23"/>
  <c r="J23" s="1"/>
  <c r="XFD119" l="1"/>
  <c r="I30"/>
  <c r="J30" s="1"/>
  <c r="H30"/>
  <c r="J19"/>
</calcChain>
</file>

<file path=xl/sharedStrings.xml><?xml version="1.0" encoding="utf-8"?>
<sst xmlns="http://schemas.openxmlformats.org/spreadsheetml/2006/main" count="7149" uniqueCount="578">
  <si>
    <t xml:space="preserve">KEGIATAN APBD KABUPATEN DEMAK </t>
  </si>
  <si>
    <t xml:space="preserve">SKPD </t>
  </si>
  <si>
    <t xml:space="preserve">:  KECAMATAN WONOSALAM </t>
  </si>
  <si>
    <t>NO</t>
  </si>
  <si>
    <t>NAMA PROGRAM/ KEGIATAN</t>
  </si>
  <si>
    <t xml:space="preserve">PAGU </t>
  </si>
  <si>
    <t>NILAI</t>
  </si>
  <si>
    <t>KEUANGAN</t>
  </si>
  <si>
    <t>FISIK</t>
  </si>
  <si>
    <t>KET</t>
  </si>
  <si>
    <t xml:space="preserve">ANGGARAN </t>
  </si>
  <si>
    <t>KONTRAK</t>
  </si>
  <si>
    <t>PELAKSANA</t>
  </si>
  <si>
    <t>SP2D</t>
  </si>
  <si>
    <t>%</t>
  </si>
  <si>
    <t>SPJ</t>
  </si>
  <si>
    <t>TARGET</t>
  </si>
  <si>
    <t>REALISASI</t>
  </si>
  <si>
    <t>( Rp )</t>
  </si>
  <si>
    <t xml:space="preserve">( Rp ) </t>
  </si>
  <si>
    <t>A.</t>
  </si>
  <si>
    <t>BELANJA TIDAK LANGSUNG :</t>
  </si>
  <si>
    <t xml:space="preserve">1. </t>
  </si>
  <si>
    <t xml:space="preserve">Gaji dan Tunjangan Pegawai </t>
  </si>
  <si>
    <t>B.</t>
  </si>
  <si>
    <t>BELANJA LANGSUNG :</t>
  </si>
  <si>
    <t>01</t>
  </si>
  <si>
    <t>Program Pelayanan Adm. Perkantoran</t>
  </si>
  <si>
    <t>Penyediaan Jasa Surat Menyurat</t>
  </si>
  <si>
    <t>02</t>
  </si>
  <si>
    <t>Belanja Telepon</t>
  </si>
  <si>
    <t>Belanja Air</t>
  </si>
  <si>
    <t>Belanja Listrik</t>
  </si>
  <si>
    <t>07</t>
  </si>
  <si>
    <t xml:space="preserve">Penyediaan Jasa Administrasi Keuangan </t>
  </si>
  <si>
    <t>Penyediaan Alat Tulis Kantor</t>
  </si>
  <si>
    <t>Belanja Cetak</t>
  </si>
  <si>
    <t>Belanja Penggandaan</t>
  </si>
  <si>
    <t>Belanja Alat Listrik dan Elektronika</t>
  </si>
  <si>
    <t>Belanja Peralatan Kebersihan &amp; Bhn Pembersih</t>
  </si>
  <si>
    <t>Belanja Surat Kabar/ Majalah</t>
  </si>
  <si>
    <t>Belanja Makanan &amp; Minuman Harian Pegawai</t>
  </si>
  <si>
    <t>Belanja Makanan dan Minuman Rapat</t>
  </si>
  <si>
    <t xml:space="preserve">Belanja Perjalanan dinas dalam Daerah </t>
  </si>
  <si>
    <t xml:space="preserve">Honorarium Pegawai Honorer/tidak tetap </t>
  </si>
  <si>
    <t>JUMLAH</t>
  </si>
  <si>
    <t>09</t>
  </si>
  <si>
    <t>Pemeliharaan rutin/berkala Rumah Dinas</t>
  </si>
  <si>
    <t>Pemeliharaan rutin/berkala Gedung/Kantor</t>
  </si>
  <si>
    <t>Pemeliharaan rutin/berkala Kendaraan Dinas/Operasional</t>
  </si>
  <si>
    <t>Pemeliharaan Rutin/berkala Perlengkapan Gedung/Kantor</t>
  </si>
  <si>
    <t>Pemeliharaan rutin/berkala Peralatan Gedung/Kantor</t>
  </si>
  <si>
    <t>Pemeliharaan rutin/berkala Mebelair</t>
  </si>
  <si>
    <t>05</t>
  </si>
  <si>
    <t>Prog.Peningkatan Kapasitas Sumber daya Aparatur</t>
  </si>
  <si>
    <t xml:space="preserve">Pendidikan dan pelatihan formal </t>
  </si>
  <si>
    <t xml:space="preserve">Prog.Peningkatan dan Pengembangan Pengelolaan Keuangan Daerah </t>
  </si>
  <si>
    <t xml:space="preserve">Prog.Pembinaan dan Fasilitasi Pengelolaan Keuangan Desa </t>
  </si>
  <si>
    <t>Evaluasi Rancangan Peraturan Desa tentang APB Desa</t>
  </si>
  <si>
    <t>Program Reformasi Birokrasi</t>
  </si>
  <si>
    <t xml:space="preserve">Pelayanan Administrasi Terpadu Kecamatan </t>
  </si>
  <si>
    <t>Prog.Pendidikan Anak Usia Dini '(Formal/non formal)</t>
  </si>
  <si>
    <t>Pengadaan Alat Praktek dan peraga siswa</t>
  </si>
  <si>
    <t xml:space="preserve">Penyelenggaraan Koordinasi &amp; kerjasama Pendidikan Anak Usia Dini </t>
  </si>
  <si>
    <t>Prog.Pembangunan Infrastruktur Perdesaan</t>
  </si>
  <si>
    <t>Prog.Perencanaan Pembangunan Daerah</t>
  </si>
  <si>
    <t>Penyelenggaraan Musrenbang RKPD</t>
  </si>
  <si>
    <t xml:space="preserve">Kegiatan Pembinaan Organisasi Perempuan </t>
  </si>
  <si>
    <t xml:space="preserve">Prog.Pengembangan Nilai Budaya </t>
  </si>
  <si>
    <t>17</t>
  </si>
  <si>
    <t>Penyelenggaraan Forum Komunikasi Ulama dan Umaro'</t>
  </si>
  <si>
    <t>Prog.Peningkatan Peran serta kepemudaan</t>
  </si>
  <si>
    <t>04</t>
  </si>
  <si>
    <t xml:space="preserve">Fasilitasi Pekan Temu Wicara Organisasi Pemuda </t>
  </si>
  <si>
    <t xml:space="preserve">Pelatihan Kewirausahaan Bagi Pemuda </t>
  </si>
  <si>
    <t xml:space="preserve">Prog.Peningkatan Keamanan dan Kenyamanan Ligkungan </t>
  </si>
  <si>
    <t xml:space="preserve">Pemantauan dan Penyebarluasan Informasi Potensi bencana Alam </t>
  </si>
  <si>
    <t xml:space="preserve">Prog.Peningkatan Keberdayaan Pedesaan  </t>
  </si>
  <si>
    <t xml:space="preserve">Masyarakat Pedesaan  </t>
  </si>
  <si>
    <t xml:space="preserve">Pemberdayaan Lembaga dan organisasi masyarakat pedesaan  </t>
  </si>
  <si>
    <t>06</t>
  </si>
  <si>
    <t xml:space="preserve">Monitoring, evaluasi dan Pelaporan </t>
  </si>
  <si>
    <t xml:space="preserve">Prog.Peningkatan kapasitas aparatur pemerintah desa </t>
  </si>
  <si>
    <t>03</t>
  </si>
  <si>
    <t>1</t>
  </si>
  <si>
    <t xml:space="preserve">JUMLAH TOTAL  BTL + BL </t>
  </si>
  <si>
    <t>CAMAT WONOSALAM</t>
  </si>
  <si>
    <t>Prog.Pencegahan dini &amp; penanggulangan Korban Bencana Alam</t>
  </si>
  <si>
    <t xml:space="preserve">Kecakapan Hidup Pemuda </t>
  </si>
  <si>
    <t xml:space="preserve">Prog.Peningkatan Upaya Penumbuhan Kewirausahaan dan </t>
  </si>
  <si>
    <t>Program Peningkatan Sarana dan Prasarana Aparatur</t>
  </si>
  <si>
    <t xml:space="preserve">Intensifikasi dan Esktensifikasi Sumber-sumber Pendapatan Daerah  </t>
  </si>
  <si>
    <t xml:space="preserve">Pelatihan Aparatur Pemerintahan Desa dalam Bidang Pengelolaan Keuangan Desa </t>
  </si>
  <si>
    <t xml:space="preserve">Pelatihan Aparatur Pemerintahan Desa dalam Bidang Manajemen  Pemerintahan Desa </t>
  </si>
  <si>
    <t>Prog.Upaya Pencegahan Penyalahgunaan Narkoba</t>
  </si>
  <si>
    <t xml:space="preserve">Pembangunan </t>
  </si>
  <si>
    <t xml:space="preserve">Prog.Peningkatan Peran serta Anak dan Kesetaraan Gender dalam </t>
  </si>
  <si>
    <t>DAFTAR DATA PEGAWAI YANG MENANGANI LAPORAN</t>
  </si>
  <si>
    <t xml:space="preserve">NAMA </t>
  </si>
  <si>
    <t>NIP</t>
  </si>
  <si>
    <t>NOMOR HP YANG BISA DIHUBUNGI</t>
  </si>
  <si>
    <t>NOMOR TELEPON KANTOR</t>
  </si>
  <si>
    <t>Pembangunan jalan dan jembatan perdesaan</t>
  </si>
  <si>
    <t>Pengendalian keamanan lingkungan</t>
  </si>
  <si>
    <t>BBGRM</t>
  </si>
  <si>
    <t>Prog.Pengembangan Pemasaran Pariwisata</t>
  </si>
  <si>
    <t>Pemilihan dan pengiriman Mas dan Mbak</t>
  </si>
  <si>
    <t>Tambahan Penghasilan PNS</t>
  </si>
  <si>
    <t>Pembina</t>
  </si>
  <si>
    <t>Pengadaan Perlengkapan Gedung kantor</t>
  </si>
  <si>
    <t>Pengadaan Peralatan Gedung kantor</t>
  </si>
  <si>
    <t>10</t>
  </si>
  <si>
    <t>Pengadaan Mebeleur</t>
  </si>
  <si>
    <t>13</t>
  </si>
  <si>
    <t xml:space="preserve">Pengadaan Tempat Parkir/MCK/Gedung Pertemuan </t>
  </si>
  <si>
    <t>Monitorng,evaluasi dan pelaporan</t>
  </si>
  <si>
    <t xml:space="preserve">Kegiatan pendidikan dan pelatihan peingkatan peran serta dan </t>
  </si>
  <si>
    <t>kesetaraan jender</t>
  </si>
  <si>
    <t xml:space="preserve">Pembinaan dan Pengiriman Peserta MTQ Pelajar,MHQ dan STQ </t>
  </si>
  <si>
    <t>Pengendalian Kebisingan dan ganguan dari keg. Masyarakat</t>
  </si>
  <si>
    <t>Dra.SRI UTAMI</t>
  </si>
  <si>
    <t>NIP. 19660429 199403 2 001</t>
  </si>
  <si>
    <t xml:space="preserve">Pembinaan Cabang olahraga prestasi di tingkat daerah </t>
  </si>
  <si>
    <t xml:space="preserve">Prog.Pengembangan Kewirausahaan dan Keunggulan </t>
  </si>
  <si>
    <t xml:space="preserve">Kompetitif Usaha Kecil Menengah </t>
  </si>
  <si>
    <t xml:space="preserve">Penyelenggaraan pelatihan kewirausahaan </t>
  </si>
  <si>
    <t>Pelatihan manajemen pengelolaan Koperasi/KUD</t>
  </si>
  <si>
    <t>Prog.Pengembangan Kemitraan</t>
  </si>
  <si>
    <t xml:space="preserve">Pengembangan SDM di bidang kebudayaan dan pariwisata bekerjasama dengan lembaga lainnya </t>
  </si>
  <si>
    <t xml:space="preserve">Pembinaan Administrasi Pemerintah Desa </t>
  </si>
  <si>
    <t xml:space="preserve">Prog.Peningkatan partisipasi masyarakat 'dlm membangun desa </t>
  </si>
  <si>
    <t>Pembinaan kelompok masyarakat pembangunan desa</t>
  </si>
  <si>
    <t>-</t>
  </si>
  <si>
    <t xml:space="preserve"> -</t>
  </si>
  <si>
    <t>Pemberian Penyuluhan tentang Bahaya Narkoba bagi Pemuda</t>
  </si>
  <si>
    <t>Belanja Perjalanan dinas dalam Daerah dan luar daerah</t>
  </si>
  <si>
    <t>ROSYDAH</t>
  </si>
  <si>
    <t>19640828 199203 2 008</t>
  </si>
  <si>
    <t>082136614950</t>
  </si>
  <si>
    <t>Dra.SRI UTAMI.</t>
  </si>
  <si>
    <t>NIP. 19660429 199403 2 001.</t>
  </si>
  <si>
    <t xml:space="preserve">Pembina </t>
  </si>
  <si>
    <t>LAPORAN REALISASI PENGADAAN BARANG/JASA TAHUN ANGARAN 2016</t>
  </si>
  <si>
    <t>Propinsi</t>
  </si>
  <si>
    <t>SPESIFIKASI BARANG</t>
  </si>
  <si>
    <t>Sat</t>
  </si>
  <si>
    <t>Keadaan Barang B/KB/RB</t>
  </si>
  <si>
    <t>Harga</t>
  </si>
  <si>
    <t>Nomor</t>
  </si>
  <si>
    <t>No urut</t>
  </si>
  <si>
    <t xml:space="preserve">Kode Barang </t>
  </si>
  <si>
    <t>Reg</t>
  </si>
  <si>
    <t>Nama/Jenis Barang</t>
  </si>
  <si>
    <t>Merk/type</t>
  </si>
  <si>
    <t>No Sertifikat No.Pabrik No. Chasis No.Mesin</t>
  </si>
  <si>
    <t>Bhn</t>
  </si>
  <si>
    <t>Asal/Cara Perolehan Barang</t>
  </si>
  <si>
    <t xml:space="preserve">Tahun Beli /Perolehan </t>
  </si>
  <si>
    <t>Ukuran/Barang Konstruksi ( P.S.D )</t>
  </si>
  <si>
    <t>Jumlah Awal</t>
  </si>
  <si>
    <t>Jml</t>
  </si>
  <si>
    <t>Bertambah</t>
  </si>
  <si>
    <t>Berkurang</t>
  </si>
  <si>
    <t>Jumlah</t>
  </si>
  <si>
    <t>Jumlah Akhir</t>
  </si>
  <si>
    <t>Mutasi/ Perubahan</t>
  </si>
  <si>
    <t>Ket</t>
  </si>
  <si>
    <t>Almari</t>
  </si>
  <si>
    <t>Gordyn</t>
  </si>
  <si>
    <t>Meja Rapat</t>
  </si>
  <si>
    <t>Televisi</t>
  </si>
  <si>
    <t>Kayu</t>
  </si>
  <si>
    <t>Kain</t>
  </si>
  <si>
    <t>Polytron</t>
  </si>
  <si>
    <t>Sound System</t>
  </si>
  <si>
    <t>Huzrel</t>
  </si>
  <si>
    <t>NIHIL</t>
  </si>
  <si>
    <t xml:space="preserve">Kipas Angin </t>
  </si>
  <si>
    <t>Epson L 120</t>
  </si>
  <si>
    <t>Almari/Brankas</t>
  </si>
  <si>
    <t>Printer Epson</t>
  </si>
  <si>
    <t>Komputer  PC</t>
  </si>
  <si>
    <t>Binner Text</t>
  </si>
  <si>
    <t>Plastik</t>
  </si>
  <si>
    <t>Besi</t>
  </si>
  <si>
    <t xml:space="preserve">Logam </t>
  </si>
  <si>
    <t>Beli</t>
  </si>
  <si>
    <t>B</t>
  </si>
  <si>
    <t>Maspion</t>
  </si>
  <si>
    <t>Acer</t>
  </si>
  <si>
    <t>Kursi Kerja</t>
  </si>
  <si>
    <t>Tempat Parkir</t>
  </si>
  <si>
    <t>J.Betonisasi Jalan Antar Desa Kerangkulon - Pilangrejo - Mojodemak</t>
  </si>
  <si>
    <t xml:space="preserve">Jumlah </t>
  </si>
  <si>
    <t xml:space="preserve">: Kecamatan Wonosalam </t>
  </si>
  <si>
    <t>:Demak</t>
  </si>
  <si>
    <t>:Jawa Tengah</t>
  </si>
  <si>
    <t>Mengetahui</t>
  </si>
  <si>
    <t>NIP.19660429 199403 2 001</t>
  </si>
  <si>
    <t>Demak,08 Juni 2016</t>
  </si>
  <si>
    <t>Bendahara Pengurus Barang</t>
  </si>
  <si>
    <t>BUDIYONO</t>
  </si>
  <si>
    <t>NIP.19610908 198303 1 016</t>
  </si>
  <si>
    <t>Kabupaten</t>
  </si>
  <si>
    <t>Kode Lokasi :</t>
  </si>
  <si>
    <t>Pengadaan pakaian dinas beserta perlengkapannya</t>
  </si>
  <si>
    <t>Program peningkatan disiplin aparatur</t>
  </si>
  <si>
    <t>SISA</t>
  </si>
  <si>
    <t>TAHUN ANGARAN 2017</t>
  </si>
  <si>
    <t>LAPORAN PERKEMBANGAN FISIK DAN KEUANGAN TAHUN ANGARAN 2017</t>
  </si>
  <si>
    <t>LAPORAN BANTUAN KEUANGAN KEPADA KABUPATEN / KOTA APBD PROV. JATENG TAHUN ANGGARAN 2017</t>
  </si>
  <si>
    <t>LAPORAN DANA ALOKASI KHUSUS (DAK) TAHUN ANGGARAN 2017</t>
  </si>
  <si>
    <t>JENIS LAPORAN</t>
  </si>
  <si>
    <t xml:space="preserve">OPD </t>
  </si>
  <si>
    <t xml:space="preserve">: KECAMATAN WONOSALAM </t>
  </si>
  <si>
    <t>Wonosalam ,      Februari 2017</t>
  </si>
  <si>
    <t>Pengadaan kendaraan dinas/oprasional</t>
  </si>
  <si>
    <t xml:space="preserve">Sosialisasi dan pelatihan pola pengelolaan limbah industri dalam menjaga kelestarian kawasan usaha mikro kecil menengah </t>
  </si>
  <si>
    <t xml:space="preserve">Prog.kemitraan pengembangan wawasan kebangsaan </t>
  </si>
  <si>
    <t xml:space="preserve">Pentas seni dan budaya, festival, lomba cipta dalam upaya peningkatan wawasan kebangsaan </t>
  </si>
  <si>
    <t xml:space="preserve">Kegiatan pendidikan dan pelatihan peningkatan peran serta dan </t>
  </si>
  <si>
    <t xml:space="preserve">Prog. Pengelolaan ruang terbuka hijau ( RTH ) </t>
  </si>
  <si>
    <t>Pemeliharaan Taman Kota</t>
  </si>
  <si>
    <t>LAPORAN REALISASI PERKEMBANGAN FISIK DAN KEUANGAN</t>
  </si>
  <si>
    <t xml:space="preserve"> TAHUN ANGARAN 2017</t>
  </si>
  <si>
    <t>BULAN</t>
  </si>
  <si>
    <t>: JANUARI 2017</t>
  </si>
  <si>
    <t xml:space="preserve"> </t>
  </si>
  <si>
    <t>Wonosalam , 31 Januari 2017</t>
  </si>
  <si>
    <t>Wonosalam , 28 Februari 2017</t>
  </si>
  <si>
    <t>:  MARET 2017</t>
  </si>
  <si>
    <t>Wonosalam , 31 Maret 2017</t>
  </si>
  <si>
    <t>:  APRIL 2017</t>
  </si>
  <si>
    <t>( % )</t>
  </si>
  <si>
    <t>:  FEBRUARI 2017</t>
  </si>
  <si>
    <t>Wonosalam ,       APRIL 2017</t>
  </si>
  <si>
    <t>DATA PENGADAAN BARANG / JASA</t>
  </si>
  <si>
    <t xml:space="preserve">NAMA PAKET KEGIATAN </t>
  </si>
  <si>
    <t>JENIS PENGADAAN ( Barang/Konstruksi/Konsultansi/jasa lainnya</t>
  </si>
  <si>
    <t>METODE PENGADAAN (Dilelangkan/Penunjukan Langsung/Pengadaan Langsung/e-purchasing/Swakelola</t>
  </si>
  <si>
    <t xml:space="preserve">TAHAPAN PENGADAAN (Proses Pengadaan/TTD Kontrak/Pelaksanaan Keg.Pekerjaan/Keg.Pekerjaan </t>
  </si>
  <si>
    <t>JUMLAH ANGGARAN (Rp)</t>
  </si>
  <si>
    <t>NILAI KONTRAK ( Rp) Pelaksana</t>
  </si>
  <si>
    <t>Realisasi Fisik %</t>
  </si>
  <si>
    <t>KONSULTASI</t>
  </si>
  <si>
    <t>JASA LAINNYA</t>
  </si>
  <si>
    <t>OPD</t>
  </si>
  <si>
    <t>Pengadaan Kendaraan Dinas/Operasional</t>
  </si>
  <si>
    <t>Pengadaan Peralatan Gedung Kantor</t>
  </si>
  <si>
    <t>Peningkatan Pelayanan Administrasi Terpadu Kecamatan ( PATEN )</t>
  </si>
  <si>
    <t xml:space="preserve">Konstruksi Taman </t>
  </si>
  <si>
    <t>Pembangunan Jalan dan Jembatan Perdesaan</t>
  </si>
  <si>
    <t xml:space="preserve">Betonisasi Jalan Antar Desa Botorejo Rt 05 Rw 01 Penghubung Desa Sidomulyo Kec. Wonosalam </t>
  </si>
  <si>
    <t>Jasa Lainnya</t>
  </si>
  <si>
    <t>Konstruksi</t>
  </si>
  <si>
    <t>e-purchasing</t>
  </si>
  <si>
    <t>Pengadaan Langsung</t>
  </si>
  <si>
    <t>Proses Pengadaan</t>
  </si>
  <si>
    <t>Kendaraan Dinas Roda 2 ( dua ) unit</t>
  </si>
  <si>
    <t>Kipas Angin 2 Unit</t>
  </si>
  <si>
    <t>Laptop 1 Unit</t>
  </si>
  <si>
    <t>Komputer 1 Unit</t>
  </si>
  <si>
    <t>Printer 2 Unit</t>
  </si>
  <si>
    <t>TAHUN ANGGARAN 2017</t>
  </si>
  <si>
    <t>NAMA OPD</t>
  </si>
  <si>
    <t>Jenis Pengadaan Barang/Jasa</t>
  </si>
  <si>
    <t>PENGADAAN BARANG/JASA PROGRES KOMULATIF SETIAP BULANYA</t>
  </si>
  <si>
    <t>TARGET PAKET</t>
  </si>
  <si>
    <t>REALISASI (%)</t>
  </si>
  <si>
    <t>B01                                  JANUARI</t>
  </si>
  <si>
    <t>KETERANGAN KENDALA/PERMASALAHAN</t>
  </si>
  <si>
    <t>PEMILIHAN PELAKSANAAN</t>
  </si>
  <si>
    <t>HASIL PEMILIHAN</t>
  </si>
  <si>
    <t>SERAH TERIMA</t>
  </si>
  <si>
    <t>B02                                   PEBRUARI</t>
  </si>
  <si>
    <t>B03                                MARET</t>
  </si>
  <si>
    <t>B04                                         APRIL</t>
  </si>
  <si>
    <t>B05                                         MEI</t>
  </si>
  <si>
    <t>B06                                          JUNI</t>
  </si>
  <si>
    <t>B07                                            JULI</t>
  </si>
  <si>
    <t>B08                                           AGUSTUS</t>
  </si>
  <si>
    <t>B09                                                           SEPTEMBER</t>
  </si>
  <si>
    <t>B10                                                            OKTOBER</t>
  </si>
  <si>
    <t>B11                                         NOPEMBER</t>
  </si>
  <si>
    <t>B12                                             DESEMBER</t>
  </si>
  <si>
    <t xml:space="preserve">PROGRES KOMULATIF SETIAP BULANYA </t>
  </si>
  <si>
    <t>FISIK DAN KEUANGAN</t>
  </si>
  <si>
    <t>TARGET      %</t>
  </si>
  <si>
    <t>RENCANA PAKET PENGADAAN BARANG/JASA</t>
  </si>
  <si>
    <t>BARANG</t>
  </si>
  <si>
    <t>KONSTRUKSI</t>
  </si>
  <si>
    <t>Penyedia</t>
  </si>
  <si>
    <t>Paket</t>
  </si>
  <si>
    <t>Pagu</t>
  </si>
  <si>
    <t>&lt;=Rp.200 Juta</t>
  </si>
  <si>
    <t xml:space="preserve">&gt;Rp.200 Juta                                                                        &lt;=Rp.2,5 Miliar  </t>
  </si>
  <si>
    <t xml:space="preserve">&gt;Rp.50 Miliar                                                                          &lt;=Rp.100 Miliar  </t>
  </si>
  <si>
    <t xml:space="preserve">&gt;Rp.100 Miliar                                                                    </t>
  </si>
  <si>
    <t>Swakelola</t>
  </si>
  <si>
    <t>: KECAMATAN WONOSALAM</t>
  </si>
  <si>
    <t>TOTAL                                              Penyedia + Swakelola</t>
  </si>
  <si>
    <t xml:space="preserve">&gt;Rp.2,5 Miliar                                                                     &lt;=Rp.50 Miliar  </t>
  </si>
  <si>
    <t>:  Mei 2017</t>
  </si>
  <si>
    <t>RENCANA KERJA TAHUNAN KECAMATAN WONOSALAM KABUPATEN DEMAK</t>
  </si>
  <si>
    <t>TAHUN 2016</t>
  </si>
  <si>
    <t>Tujuan</t>
  </si>
  <si>
    <t>Sasaran</t>
  </si>
  <si>
    <t xml:space="preserve">Indikator Sasaran </t>
  </si>
  <si>
    <t>Program/ Kegiatan</t>
  </si>
  <si>
    <t>Anggaran 2016 ( 000 )</t>
  </si>
  <si>
    <t>SEKETARIAT</t>
  </si>
  <si>
    <t>SEKRETARIAT</t>
  </si>
  <si>
    <t>Meningkatkan ketersediaan sarana dan prasarana penunjang pelayanan dan operasional kantor.</t>
  </si>
  <si>
    <t>Terpenuhinya kebutuhan peralatan penunjang pelayanan dan operasional kantor sesuai dengan kebutuhan.</t>
  </si>
  <si>
    <t>Persentase pemenuhan kebutuhan peralatan</t>
  </si>
  <si>
    <t>Program Pelayanan Administrasi Perkantoran</t>
  </si>
  <si>
    <t>Penyediaan jasa surat menyurat</t>
  </si>
  <si>
    <t>Penyediaan jasa komunikasi, sumber daya air dan listrik</t>
  </si>
  <si>
    <t>Penyediaan jasa administrasi keuangan</t>
  </si>
  <si>
    <t>Penyediaan alat tulis kantor</t>
  </si>
  <si>
    <t>Penyediaan barang cetakan dan penggandaan</t>
  </si>
  <si>
    <t>Penyediaan komponen instalasi listrik/ penerangan bangunan kantor</t>
  </si>
  <si>
    <t xml:space="preserve">Penyediaan peralatan dan perlengkapan kantor </t>
  </si>
  <si>
    <t>Penyediaan bahan bacaan dan peraturan perundang-undangan</t>
  </si>
  <si>
    <t>Penyediaan makanan dan minuman</t>
  </si>
  <si>
    <t>Rapat-rapat kordinasi dan konsultasi ke luar daerah dan dalam daerah</t>
  </si>
  <si>
    <t>Penyediaan jasa pegawai non PNS</t>
  </si>
  <si>
    <t>Meningkatkan kualitas bangunan gedung dan pemenuhan kebutuhan ruang kerja</t>
  </si>
  <si>
    <t>Terpenuhinya kebutuhan Sarana dan Prasarana  Aparatur.</t>
  </si>
  <si>
    <t>Persentase pemenuhan kebutuhan sarana dan prasarana Aparatur</t>
  </si>
  <si>
    <t>Program peningkatan sarana dan prasarana aparatur</t>
  </si>
  <si>
    <t>Pengadaan kendaraan dinas/operasional</t>
  </si>
  <si>
    <t>Pemeliharaan rutin/berkala kendaraan dinas/operasional</t>
  </si>
  <si>
    <t>Pengadaan perlengkapan gedung kantor</t>
  </si>
  <si>
    <t>Pengadaan peralatan gedung kantor</t>
  </si>
  <si>
    <t>Pemeliharaan rutin/berkala perlengkapan gedung kantor</t>
  </si>
  <si>
    <t>Pengadaan mebeleur</t>
  </si>
  <si>
    <t>Pemeliharaan rutin/berkala peralatan  &amp; perlengkapan kantor</t>
  </si>
  <si>
    <t>Pemeliharaan rutin/berkala mebeleur</t>
  </si>
  <si>
    <t>Pemeliharaan rutin/berkala rumah dinas</t>
  </si>
  <si>
    <t>Pengadaan sarana prasarana kantor/tempat parkir</t>
  </si>
  <si>
    <t>Pemeliharaan rutin/berkala peralatan gedung kantor</t>
  </si>
  <si>
    <t>Peningkatan motivasi dan kesejahteraan pegawai</t>
  </si>
  <si>
    <t>Terciptanya etos/semangat pegawai yang tinggi dalam bekerja</t>
  </si>
  <si>
    <t>Rata-rata tingkat kehadiran pegawai</t>
  </si>
  <si>
    <t>Jumlah pelanggaran disiplin</t>
  </si>
  <si>
    <t>Pengadaan mesin/kartu absensi</t>
  </si>
  <si>
    <t>Meningkatkan kesejahteraan pegawai yang memadai</t>
  </si>
  <si>
    <t>Persentas rata-rata kenaikan TPP setiap tahun</t>
  </si>
  <si>
    <t>Pengusulan kenaikan TPP setiap tahun</t>
  </si>
  <si>
    <t xml:space="preserve">Meningkatkan sarana dan prasarana jalan dan jembatan </t>
  </si>
  <si>
    <t>Masyarakat Desa</t>
  </si>
  <si>
    <t>Infrastruktur antar desa yang dibangun/dipelihara ( paket )</t>
  </si>
  <si>
    <t xml:space="preserve">Program pembangunan infrastruktur perdesaan </t>
  </si>
  <si>
    <t xml:space="preserve">Pembangunan jalan penghubung antar desa </t>
  </si>
  <si>
    <t>Monitoing,evaluasi dan pelaporan</t>
  </si>
  <si>
    <t>Pemenuhan kekurangan  dan peningkatan kompetensi pegawai di Kecamatan</t>
  </si>
  <si>
    <t>Terpenuhinya jumlah pegawai yang memadai sesuai dengan kebutuhan/beban kerja</t>
  </si>
  <si>
    <t xml:space="preserve">Persentase jumlah pegawai yang ditempatkan sesuai dengan kebutuhan </t>
  </si>
  <si>
    <t>Program peningkatan kapasitas sumber daya aparatur</t>
  </si>
  <si>
    <t>Meningkatnya jumlah pegawai yang kompeten sesuai dengan tuntutan kinerja</t>
  </si>
  <si>
    <t>Persentase pegawai yang memenuhi syarat kompetensi jabatan</t>
  </si>
  <si>
    <t>Pendidikan dan pelatihan formal</t>
  </si>
  <si>
    <t>Mewujudkan efektifitas,  efisiensi dan  produktifitas kerja dan tertatanya arsip serta data kantor</t>
  </si>
  <si>
    <t xml:space="preserve">Tersedianya sistem mekanisme dan prosedur kerja </t>
  </si>
  <si>
    <t>Persentase SOP yang ditetapkan</t>
  </si>
  <si>
    <t>Program peningkatan pengembangan sistem pelaporan capaian kinerja dan keuangan</t>
  </si>
  <si>
    <t>Tertatanya arsip dan data penyelenggaraan pemerintahan kecamatan</t>
  </si>
  <si>
    <t>Banyaknya arsip yang tertata sesuai prinsip managemen kearsipan (terdaftar, terpilah, dan terpisah)</t>
  </si>
  <si>
    <t>Penyusunan laporan capaian kinerja dan ikhtisar realisasi kinerja SKPD</t>
  </si>
  <si>
    <t>Penyusunan pelaporan keuangan akhir tahun</t>
  </si>
  <si>
    <t>Terciptanya pelayanan yang baik</t>
  </si>
  <si>
    <t>Indek kepuasan masyarakat</t>
  </si>
  <si>
    <t>Program Reformasi Birokrasi ( PATEN )</t>
  </si>
  <si>
    <t>Pelayanan Administrasi Terpadu Kecamatan</t>
  </si>
  <si>
    <t xml:space="preserve">SEKSI TATA PEMERINTAHAN </t>
  </si>
  <si>
    <t>Melaksanakan tugsa-tugas Pemerintahan umum di Kecamatan</t>
  </si>
  <si>
    <t>Meningkatnya pendapatan Daerah khususnya sektor PBB Pedesaan</t>
  </si>
  <si>
    <t>Prosentase capaian PBB</t>
  </si>
  <si>
    <t>Program peningkatan dan pengembangan pengelolaan keuangan daerah</t>
  </si>
  <si>
    <t>Intensifikasi dan ekstensifikasi sumber-sumber pendapatan daerah</t>
  </si>
  <si>
    <t>Pembinaan  kegiatan Pemerintahan Desa</t>
  </si>
  <si>
    <t>Tertibnya pelaksanaan Pemerintahan Desa</t>
  </si>
  <si>
    <t>Prosentase Desa yang tertib pelaporan penyelenggaraan Pemerintahan Desa.</t>
  </si>
  <si>
    <t>Program pembinaan dan fasilitasi pengelolaan keuangan desa</t>
  </si>
  <si>
    <t>Evaluasi rancangan peraturan desa tentang APB Desa</t>
  </si>
  <si>
    <t>Pembinaan administrasi desa</t>
  </si>
  <si>
    <t>Meningkatnya pengetahuan dan keterampilan SDM aparatur pemerintah desa dalam penyelenggaraan pemerintahan desa</t>
  </si>
  <si>
    <t>Persentase SDM aparatur pemerintah desa yang dilatih/dibina</t>
  </si>
  <si>
    <t xml:space="preserve">Program peningkatan kapasitas aparatur pemerintah desa </t>
  </si>
  <si>
    <t>Pelatihan aparatur pemerintah desa dalam bidang pengelolaan keuangan desa</t>
  </si>
  <si>
    <t>Pelatihan aparatur pemerintah desa dalam bidang manajemen pemerintahan desa</t>
  </si>
  <si>
    <t>Pelatihan aparatur pemerintah desa dalam bidang pembangunan kawasan perdesaan</t>
  </si>
  <si>
    <t>Pembinaan tertib administrasi desa</t>
  </si>
  <si>
    <t>fasilitasi Pilkades</t>
  </si>
  <si>
    <t>fasilitasi pemilihan BPD</t>
  </si>
  <si>
    <t>Fasilitasi Perangkat Desa</t>
  </si>
  <si>
    <t>SEKSI PEMBERDAYAAN MASYARAKAT</t>
  </si>
  <si>
    <t>catatan : koordinasi dg bagian pemerintahan soal pendelegasian kecamatan ( paten )</t>
  </si>
  <si>
    <t>Mengkoordinasikan kegiatan Pemberdayaan masyarakat</t>
  </si>
  <si>
    <t>Tersedianya Dokumen Prioritas Pembangunan Kecamatan</t>
  </si>
  <si>
    <t>Dokumen Rencana Pembangunan Kecamatan</t>
  </si>
  <si>
    <t>Program  perencanaan pembangunan daerah</t>
  </si>
  <si>
    <t>Musrenbangcam</t>
  </si>
  <si>
    <t>Terwujudnya sinkronisasi data tentang UMKM</t>
  </si>
  <si>
    <t>Prosentase kegiatan UMKM yang terfasilitasi perijinan</t>
  </si>
  <si>
    <t>Program Pengembangan Kewirausahaan dan Keunggulan Kompetitif Usaha Kecil Menengah</t>
  </si>
  <si>
    <t>Penyelenggaraan Pelatihan Kewirausahaan</t>
  </si>
  <si>
    <t>Monitoring, evaluasi dan pelaporan</t>
  </si>
  <si>
    <t>Pelatiha Manajemen pengelolaan koperasi/KUD</t>
  </si>
  <si>
    <t>Fasilitasi Pengembangan sarana promosi hasil produksi</t>
  </si>
  <si>
    <t>Pembinaan kegiatan Pembangunan di Desa</t>
  </si>
  <si>
    <t>Tertibnya pelaksanaan Pembangunan di Desa</t>
  </si>
  <si>
    <t>Prosentase Desa yang tertib pelaporan Pelaksanaan Pembangunan.</t>
  </si>
  <si>
    <t>Program peningkatan keberdayaan masyarakat pedesaan</t>
  </si>
  <si>
    <t>Fasilitasi kegiatan APBDes ( DD, ADD dan PADes )</t>
  </si>
  <si>
    <t xml:space="preserve">Program peningkatan partisipasi masyarakat dalam membangun desa </t>
  </si>
  <si>
    <t>Monitoring, valuasi dan pelaporan</t>
  </si>
  <si>
    <t>Pemberdayaan perempuan</t>
  </si>
  <si>
    <t>Pemberdayaan lembaga dan organisasi masyarakat perdesaan</t>
  </si>
  <si>
    <t>Pelaksanaan Bulan Bhakti Gotong Royong Masyarakat ( BBGRM )</t>
  </si>
  <si>
    <t>Program Peningkatan peran serta dn kesetaraan gender daam pembangunan</t>
  </si>
  <si>
    <t>Kegiatan pembinaan organisasi perempuan</t>
  </si>
  <si>
    <t>Kegiatan Pendidikan dan Pelatihan Peningkatan Peran Serta dan Kesetaraan Gender</t>
  </si>
  <si>
    <t>Meningkatkan sektor-sektor unggulan desa yang tergabung dalam BUMDes</t>
  </si>
  <si>
    <t>Terwujudnya kepemilikan BUMDes pada seluruh desa</t>
  </si>
  <si>
    <t>Persentase desa dengan kepemilikan BUMDes</t>
  </si>
  <si>
    <t>Program pengembangan lembaga ekonomi pedesaan</t>
  </si>
  <si>
    <t>Fasilitasi dan pendampingan Pendirian Bumdes.</t>
  </si>
  <si>
    <t xml:space="preserve">SEKSI KETENTRAMAN DAN KETETIBAN UMUM </t>
  </si>
  <si>
    <t>Meningkatkan partisipasi masyarakat dalam menjaga keamanan dan ketertiban</t>
  </si>
  <si>
    <t>Menurunnya kasus-kasus keamanan dan ketertiban</t>
  </si>
  <si>
    <t>Kasus keamanan dan ketertiban</t>
  </si>
  <si>
    <t>Program peningkatan keamanan dan kenyamanan lingkungan</t>
  </si>
  <si>
    <t>Pengendalian kebisingan dan gangguan dari kegiatan masyarakat</t>
  </si>
  <si>
    <t>pembinaan PKL</t>
  </si>
  <si>
    <t>Meningkatkan kewaspadaan masyarakat untuk tidak terpengaruh oleh isu-isu yang berdampak pada konflik dimasyarakat</t>
  </si>
  <si>
    <t>Menurunnya konflik pada masyarakat</t>
  </si>
  <si>
    <t>Kasus konflik dimasyarakat</t>
  </si>
  <si>
    <t>Program  pencegahan dini dan penanggulangan korban bencana alam</t>
  </si>
  <si>
    <t>Pemantauan dan penyebarluasan informasi potensi bencana alam</t>
  </si>
  <si>
    <t xml:space="preserve">Meningkatkan pengetahuan dan pemahaman masyarakat terhadap peraturan daerah yang diterapkan </t>
  </si>
  <si>
    <t>Menurunnya kasus pelanggaran perda</t>
  </si>
  <si>
    <t>Jumlah perda yang difasilitasi</t>
  </si>
  <si>
    <t>Program pemeliharaan kamtibmas dan pencegahan tindak kriminal</t>
  </si>
  <si>
    <t>Peningkatan kapasitas aparat dalam rangka pelaksanaan siskamswakarsa di daerah</t>
  </si>
  <si>
    <t>Menanamkan nilai-nilai kebangsaan dalam kehidupan bermasyarakat</t>
  </si>
  <si>
    <t>Meningkatnya kesadaran nilai-nilai kebangsaan pada masyarakat</t>
  </si>
  <si>
    <t>Tingkat keterlibatan pokmas dalam penyelenggaraan kegiatan wawasan kebangsaan</t>
  </si>
  <si>
    <t>Program kemitraan pengembangan wawasan kebangsaan</t>
  </si>
  <si>
    <t>Upacara hari-hari besar nasional maupun daerah</t>
  </si>
  <si>
    <t>Pentas seni dan budaya,, festifal, lomba cipta dalam upaya peningkatan wawasan kebangsaan</t>
  </si>
  <si>
    <t>SEKSI KESEJAHTERAAN RAKYAT</t>
  </si>
  <si>
    <t>Mengkoordinasikan  tugas-tugas kemasyarakatan di Kecamatan</t>
  </si>
  <si>
    <t>Terkordinirnya tugsa-tugas Instansi teknis di Kecamatan</t>
  </si>
  <si>
    <t>Prosentase tugas-tugas kemasyarakatan yg terkordinasikan</t>
  </si>
  <si>
    <t>Program peningkatan pelayanan kedinasan kepala daerah/ wakil kepala daerah</t>
  </si>
  <si>
    <t>Forum komunikasi ulama dan umaro</t>
  </si>
  <si>
    <t>Program peningkatan penghayatan pengamalan dan pengembangan nilai-nilai keagamaan</t>
  </si>
  <si>
    <t>Pembinaan, seleksi, pengiriman peserta MTQ</t>
  </si>
  <si>
    <t>Program Pendidikan Anak Usia Dini</t>
  </si>
  <si>
    <t>Penyelenggaraan koordinasi dan kerjasama pendidikan anak usia dini</t>
  </si>
  <si>
    <t>Pengadaan alat praktek dan peraga siswa</t>
  </si>
  <si>
    <t>Program Pembinaan dan Pemasyarakatan Olahraga</t>
  </si>
  <si>
    <t>Pembinaan cabang olahraga prestasi di tingkat daerah</t>
  </si>
  <si>
    <t>Program Peningkatan peran serta Kepemudaan</t>
  </si>
  <si>
    <t>Fasilitasi pekan temu wicara Organisasi Pemuda</t>
  </si>
  <si>
    <t>Pogram peningkatan upaya penumbuhan kewirausahaan  dan kecakapan hidup pemuda</t>
  </si>
  <si>
    <t>Pelatihan kewirausahaan bagi pemuda</t>
  </si>
  <si>
    <t>Program  Pengembangan Kemitraan</t>
  </si>
  <si>
    <t>Peningkatan peran serta masyarakat dalam pengembangan kemitraan pariwisata</t>
  </si>
  <si>
    <t>Program Pengembangan Pemasaran Pariwisata</t>
  </si>
  <si>
    <t>Pemgembangan SDM dibidang kebudayaan dan pariwisata bekerjasana dengan lembaga laiinnya</t>
  </si>
  <si>
    <t>Program Peningkatan Keberdayaan Masyarakat Pedesaan</t>
  </si>
  <si>
    <t>Meningkatkan kualitas pelaksanaan program-program peningkatan kesejahteraan masyarakat</t>
  </si>
  <si>
    <t>Teruwujdnya sinkronisasi data kesra dalam pelaksanaan program dan kegiatan</t>
  </si>
  <si>
    <t>Jumlah penduduk miskin</t>
  </si>
  <si>
    <t>Program Pemberdayaan Fakir Miskin, Komunitas Adat Terpencil (KAT) dan Penyandang Masalah Kesejahteraan Sosial (PMKS) Lainnya</t>
  </si>
  <si>
    <t>Jumlah PMKS</t>
  </si>
  <si>
    <t>Pelatihan keterampilan berusaha bagi keluarga miskin</t>
  </si>
  <si>
    <t>Program peningkatan penanggulangan narkoba, PMS termasuk HIV/ AIDS</t>
  </si>
  <si>
    <t>Penyuluhan penanggulangan narkoba, PMS termasuk HIV/ AIDS</t>
  </si>
  <si>
    <t>Program upaya pencegahan penyalahgunaan narkoba</t>
  </si>
  <si>
    <t>Pemberian penyuluhan tentang bahaya narkoba bagi pemuda</t>
  </si>
  <si>
    <t>42.00</t>
  </si>
  <si>
    <t>41.80</t>
  </si>
  <si>
    <t>Wonosalam ,31 MEI 2017</t>
  </si>
  <si>
    <t>:  Juni 2017</t>
  </si>
  <si>
    <t>Wonosalam ,30 Juni 2017</t>
  </si>
  <si>
    <t>:  Juli 2017</t>
  </si>
  <si>
    <t>Wonosalam ,31 Juli 2017</t>
  </si>
  <si>
    <t>Pembina Tk I</t>
  </si>
  <si>
    <t>Demak, 14 Agustus 2017</t>
  </si>
  <si>
    <t>JKK</t>
  </si>
  <si>
    <t>JKM</t>
  </si>
  <si>
    <t>AHMAD SAMSURI</t>
  </si>
  <si>
    <t>LAPORAN REALISASI PENGADAAN FISIK DAN NON FISIK TAHUN ANGGARAN 2017</t>
  </si>
  <si>
    <t xml:space="preserve">PER 31 JULI 2017  </t>
  </si>
  <si>
    <t>Program /  Kegiatan</t>
  </si>
  <si>
    <t>PENYEDIA</t>
  </si>
  <si>
    <t>&lt;= Rp. 200 Juta</t>
  </si>
  <si>
    <t xml:space="preserve">&gt; Rp. 200 Juta                                                                              </t>
  </si>
  <si>
    <t xml:space="preserve">&gt; Rp. 2.5 Miliar                                      </t>
  </si>
  <si>
    <t xml:space="preserve">&gt; Rp. 50 Miliar                                                                                                                       </t>
  </si>
  <si>
    <t>&gt; Rp. 100 Miliar</t>
  </si>
  <si>
    <t>Realisasi</t>
  </si>
  <si>
    <t>Nilai kontrak</t>
  </si>
  <si>
    <t>Pelaksana</t>
  </si>
  <si>
    <t>Sp2d / SPJ</t>
  </si>
  <si>
    <t xml:space="preserve">Paket </t>
  </si>
  <si>
    <t>Belanja Modal Jalan - Irigasi dan jaringan - Pengadaan Jalan Desa</t>
  </si>
  <si>
    <t>Cv Pilar Mas</t>
  </si>
  <si>
    <t>Belanja Modal Gedung dan Bangunan - Pengadaan Bangunan Gedung Kantor</t>
  </si>
  <si>
    <t>Belanja Modal Gedung dan Bangunan -Pembangunan Gedung kantor (Pembangunan Pagar Kantor Kec Wedung )</t>
  </si>
  <si>
    <t xml:space="preserve">JUMLAH </t>
  </si>
  <si>
    <t xml:space="preserve">BARANG </t>
  </si>
  <si>
    <t>Pengadaan Kendaraan Dinas/ Oprasional</t>
  </si>
  <si>
    <t>Belanja Modal Peralatan dan Mesin - Pengadaan Personal Komputer Laptop</t>
  </si>
  <si>
    <t>Pengadaan Alat Kantor Lainnya (Fingerprint)</t>
  </si>
  <si>
    <t>Belanja Modal Peralatan dan Mesin - Pengadaa Meubeler</t>
  </si>
  <si>
    <t>Belanja Modal Perlatan dan Mesin - Pengadaan Alat Rumah Tangga Lainnya (Home use)</t>
  </si>
  <si>
    <t>KONSULTANSI</t>
  </si>
  <si>
    <t>JUMLAH TOTAL</t>
  </si>
  <si>
    <t>Wedung,       Agustus 2017</t>
  </si>
  <si>
    <t>CAMAT WEDUNG</t>
  </si>
  <si>
    <t>MULYANTO, AP. MS.i</t>
  </si>
  <si>
    <t>NIP. 19760414 199602 1 005</t>
  </si>
  <si>
    <t>NAMA OPD  : KECAMATAN WONOSALAM</t>
  </si>
  <si>
    <t>Cv Hidayah Baru</t>
  </si>
  <si>
    <t>Wonosalam,       Agustus 2017</t>
  </si>
  <si>
    <t>Dra. SRI UTAMI</t>
  </si>
  <si>
    <t>Belanja Modal Peralatan dan Mesin - Pengadaan Alat Rumah Tangga</t>
  </si>
  <si>
    <t>Belanja Modal Gedung dan Bangunan - Pengadaan Bangunan Gedung Tempat Kerja Lainnya</t>
  </si>
  <si>
    <t>LAPORAN REALISASI PENGADAAN FISIK  TAHUN ANGGARAN 2017</t>
  </si>
  <si>
    <t>:  AGUSTUS 2017</t>
  </si>
  <si>
    <t>Wonosalam ,31 Agustus 2017</t>
  </si>
  <si>
    <t>Wonosalam , 31 Agustus 2017</t>
  </si>
  <si>
    <t xml:space="preserve"> 1.302.935.367</t>
  </si>
  <si>
    <t>:  SEPTEMBER 2017</t>
  </si>
  <si>
    <t>Wonosalam , 30 September 2017</t>
  </si>
  <si>
    <t>1.203.333.895</t>
  </si>
  <si>
    <t>2.125.750.864</t>
  </si>
  <si>
    <t>17.936.300</t>
  </si>
  <si>
    <t>POSISI S.D TANGGAL 30 SEPTEMBER 2017</t>
  </si>
  <si>
    <t>:  OKTOBER 2017</t>
  </si>
  <si>
    <t>PERUBAHAN</t>
  </si>
  <si>
    <t>ANGGARAN</t>
  </si>
  <si>
    <t>(Rp)</t>
  </si>
  <si>
    <t>:  NOPEMBER 2017</t>
  </si>
  <si>
    <t>Wonosalam , 31 Nopember 2017</t>
  </si>
  <si>
    <t>:  DESEMBER 2017</t>
  </si>
  <si>
    <t>Wonosalam , 31 Desember 2017</t>
  </si>
  <si>
    <t>Wonosalam , 31 Oktober 2017</t>
  </si>
  <si>
    <t>Demak, 14 Nopember 2017</t>
  </si>
  <si>
    <t>TARGET REALISASI FISIK DAN PROGRES KEUANGAN PER 31 OKTOBER 2017</t>
  </si>
  <si>
    <t>TARGET DAN REALISASI PENGADAAN BARANG/JASA PER 31 OKTOBER 2017</t>
  </si>
  <si>
    <t>Wonosalam, 14 Nopember 2017</t>
  </si>
  <si>
    <t xml:space="preserve">PER 31 OKTOBER 2017  </t>
  </si>
  <si>
    <t>Transaksi non tunai</t>
  </si>
  <si>
    <t>Gu</t>
  </si>
  <si>
    <t>Transaksi Non tunai</t>
  </si>
  <si>
    <t>GU</t>
  </si>
  <si>
    <t>914.982.040</t>
  </si>
  <si>
    <t>2.162.113.000</t>
  </si>
  <si>
    <t>2.162.113.001</t>
  </si>
  <si>
    <t xml:space="preserve">     '-Transport Kunjungan Kerja</t>
  </si>
  <si>
    <t>- Pembuatan Taman Kantor Kec.Wonosalam</t>
  </si>
  <si>
    <t>SISA ANGGARAN</t>
  </si>
  <si>
    <t>UP</t>
  </si>
  <si>
    <t>Pengajuan Gu75%</t>
  </si>
  <si>
    <t>GU NIHIL</t>
  </si>
  <si>
    <t>Pengajuan GU 50 %</t>
  </si>
  <si>
    <t>Wonosalam , 30 Nopember 2017</t>
  </si>
  <si>
    <t>3.077.095.040</t>
  </si>
  <si>
    <t>Pemeliharaan rutin/berkala Gedung Kantor</t>
  </si>
  <si>
    <t>Wonosalam ,      Desember 2017</t>
  </si>
  <si>
    <t>Realisasi 50%</t>
  </si>
  <si>
    <t>Sisa Anggaran</t>
  </si>
</sst>
</file>

<file path=xl/styles.xml><?xml version="1.0" encoding="utf-8"?>
<styleSheet xmlns="http://schemas.openxmlformats.org/spreadsheetml/2006/main">
  <numFmts count="8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(* #,##0.00_);_(* \(#,##0.00\);_(* &quot;-&quot;_);_(@_)"/>
    <numFmt numFmtId="168" formatCode="_-* #,##0_-;\-* #,##0_-;_-* &quot;-&quot;??_-;_-@_-"/>
  </numFmts>
  <fonts count="7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b/>
      <sz val="9"/>
      <color theme="1"/>
      <name val="Calibri"/>
      <family val="2"/>
      <charset val="1"/>
      <scheme val="minor"/>
    </font>
    <font>
      <b/>
      <sz val="9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u/>
      <sz val="1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b/>
      <sz val="48"/>
      <color theme="1"/>
      <name val="Arial Narrow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u/>
      <sz val="10"/>
      <color theme="1"/>
      <name val="Tahoma"/>
      <family val="2"/>
    </font>
    <font>
      <sz val="10"/>
      <color theme="1"/>
      <name val="Calibri"/>
      <family val="2"/>
      <charset val="1"/>
      <scheme val="minor"/>
    </font>
    <font>
      <sz val="10"/>
      <color rgb="FF000000"/>
      <name val="Arial Narrow"/>
      <family val="2"/>
    </font>
    <font>
      <sz val="9"/>
      <color theme="1"/>
      <name val="Calibri"/>
      <family val="2"/>
      <charset val="1"/>
      <scheme val="minor"/>
    </font>
    <font>
      <b/>
      <sz val="10"/>
      <color rgb="FF000000"/>
      <name val="Arial Narrow"/>
      <family val="2"/>
    </font>
    <font>
      <sz val="11"/>
      <color theme="1"/>
      <name val="Tahoma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b/>
      <u/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4"/>
      <color theme="1"/>
      <name val="Arial Narrow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u/>
      <sz val="9"/>
      <color theme="1"/>
      <name val="Tahoma"/>
      <family val="2"/>
    </font>
    <font>
      <b/>
      <sz val="9"/>
      <color indexed="8"/>
      <name val="Tahoma"/>
      <family val="2"/>
    </font>
    <font>
      <b/>
      <sz val="9"/>
      <name val="Tahoma"/>
      <family val="2"/>
    </font>
    <font>
      <sz val="12"/>
      <color theme="1"/>
      <name val="Times New Roman"/>
      <family val="1"/>
    </font>
    <font>
      <sz val="12"/>
      <color theme="1"/>
      <name val="Tahoma"/>
      <family val="2"/>
    </font>
    <font>
      <b/>
      <u/>
      <sz val="12"/>
      <color theme="1"/>
      <name val="Tahoma"/>
      <family val="2"/>
    </font>
    <font>
      <sz val="8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0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Calibri"/>
      <family val="2"/>
      <charset val="1"/>
      <scheme val="minor"/>
    </font>
    <font>
      <b/>
      <sz val="10"/>
      <color theme="0"/>
      <name val="Arial Narrow"/>
      <family val="2"/>
    </font>
    <font>
      <sz val="14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indexed="8"/>
      <name val="Arial Narrow"/>
      <family val="2"/>
    </font>
    <font>
      <sz val="14"/>
      <name val="Arial Narrow"/>
      <family val="2"/>
    </font>
    <font>
      <b/>
      <u/>
      <sz val="14"/>
      <color indexed="8"/>
      <name val="Arial Narrow"/>
      <family val="2"/>
    </font>
    <font>
      <sz val="9"/>
      <color rgb="FF000000"/>
      <name val="Tahoma"/>
      <family val="2"/>
    </font>
    <font>
      <b/>
      <u/>
      <sz val="12"/>
      <color indexed="8"/>
      <name val="Arial Narrow"/>
      <family val="2"/>
    </font>
    <font>
      <sz val="8"/>
      <color theme="1"/>
      <name val="Arial Narrow"/>
      <family val="2"/>
    </font>
    <font>
      <sz val="6.5"/>
      <color rgb="FF000000"/>
      <name val="Tahoma"/>
      <family val="2"/>
    </font>
    <font>
      <b/>
      <sz val="11"/>
      <name val="Cambria"/>
      <family val="1"/>
      <scheme val="major"/>
    </font>
    <font>
      <sz val="8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7.5"/>
      <color rgb="FF000000"/>
      <name val="Tahoma"/>
      <family val="2"/>
    </font>
    <font>
      <sz val="10"/>
      <color rgb="FF000000"/>
      <name val="Tahoma"/>
      <family val="2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i/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7">
    <xf numFmtId="0" fontId="0" fillId="0" borderId="0" xfId="0"/>
    <xf numFmtId="0" fontId="2" fillId="0" borderId="0" xfId="0" applyFont="1" applyBorder="1" applyAlignment="1">
      <alignment horizontal="left"/>
    </xf>
    <xf numFmtId="166" fontId="3" fillId="0" borderId="0" xfId="1" applyNumberFormat="1" applyFont="1" applyBorder="1" applyAlignment="1">
      <alignment horizontal="center" wrapText="1"/>
    </xf>
    <xf numFmtId="0" fontId="2" fillId="0" borderId="0" xfId="0" quotePrefix="1" applyFont="1" applyBorder="1" applyAlignment="1"/>
    <xf numFmtId="0" fontId="2" fillId="0" borderId="0" xfId="0" applyFont="1" applyAlignment="1"/>
    <xf numFmtId="166" fontId="2" fillId="0" borderId="0" xfId="0" applyNumberFormat="1" applyFont="1" applyAlignment="1"/>
    <xf numFmtId="166" fontId="7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1" applyNumberFormat="1" applyFont="1" applyBorder="1" applyAlignment="1">
      <alignment horizontal="center" vertical="center" wrapText="1"/>
    </xf>
    <xf numFmtId="166" fontId="0" fillId="0" borderId="0" xfId="0" applyNumberFormat="1"/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wrapText="1"/>
    </xf>
    <xf numFmtId="0" fontId="2" fillId="0" borderId="0" xfId="0" applyFont="1" applyBorder="1" applyAlignment="1"/>
    <xf numFmtId="0" fontId="0" fillId="0" borderId="0" xfId="0" applyBorder="1"/>
    <xf numFmtId="166" fontId="2" fillId="0" borderId="0" xfId="0" applyNumberFormat="1" applyFont="1" applyBorder="1" applyAlignment="1"/>
    <xf numFmtId="0" fontId="8" fillId="0" borderId="45" xfId="0" quotePrefix="1" applyFont="1" applyBorder="1" applyAlignment="1">
      <alignment horizontal="center"/>
    </xf>
    <xf numFmtId="0" fontId="8" fillId="0" borderId="45" xfId="0" applyNumberFormat="1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7" xfId="0" quotePrefix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2" borderId="0" xfId="0" applyFill="1"/>
    <xf numFmtId="166" fontId="8" fillId="3" borderId="10" xfId="0" applyNumberFormat="1" applyFont="1" applyFill="1" applyBorder="1"/>
    <xf numFmtId="166" fontId="9" fillId="3" borderId="10" xfId="0" applyNumberFormat="1" applyFont="1" applyFill="1" applyBorder="1"/>
    <xf numFmtId="166" fontId="8" fillId="3" borderId="14" xfId="0" applyNumberFormat="1" applyFont="1" applyFill="1" applyBorder="1"/>
    <xf numFmtId="166" fontId="9" fillId="3" borderId="19" xfId="1" applyNumberFormat="1" applyFont="1" applyFill="1" applyBorder="1"/>
    <xf numFmtId="166" fontId="9" fillId="3" borderId="22" xfId="1" applyNumberFormat="1" applyFont="1" applyFill="1" applyBorder="1"/>
    <xf numFmtId="0" fontId="8" fillId="3" borderId="10" xfId="0" applyFont="1" applyFill="1" applyBorder="1" applyAlignment="1">
      <alignment horizontal="center"/>
    </xf>
    <xf numFmtId="0" fontId="8" fillId="3" borderId="11" xfId="0" quotePrefix="1" applyFont="1" applyFill="1" applyBorder="1" applyAlignment="1"/>
    <xf numFmtId="0" fontId="9" fillId="3" borderId="12" xfId="0" applyFont="1" applyFill="1" applyBorder="1" applyAlignment="1">
      <alignment wrapText="1"/>
    </xf>
    <xf numFmtId="0" fontId="9" fillId="3" borderId="13" xfId="0" quotePrefix="1" applyFont="1" applyFill="1" applyBorder="1" applyAlignment="1">
      <alignment horizontal="center"/>
    </xf>
    <xf numFmtId="0" fontId="9" fillId="3" borderId="14" xfId="0" applyFont="1" applyFill="1" applyBorder="1" applyAlignment="1"/>
    <xf numFmtId="0" fontId="9" fillId="3" borderId="15" xfId="0" applyFont="1" applyFill="1" applyBorder="1" applyAlignment="1">
      <alignment wrapText="1"/>
    </xf>
    <xf numFmtId="0" fontId="8" fillId="3" borderId="16" xfId="0" quotePrefix="1" applyFont="1" applyFill="1" applyBorder="1" applyAlignment="1">
      <alignment horizontal="center"/>
    </xf>
    <xf numFmtId="0" fontId="10" fillId="3" borderId="13" xfId="0" applyFont="1" applyFill="1" applyBorder="1" applyAlignment="1"/>
    <xf numFmtId="0" fontId="10" fillId="3" borderId="15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/>
    </xf>
    <xf numFmtId="0" fontId="9" fillId="3" borderId="17" xfId="0" quotePrefix="1" applyFont="1" applyFill="1" applyBorder="1" applyAlignment="1">
      <alignment horizontal="center"/>
    </xf>
    <xf numFmtId="0" fontId="9" fillId="3" borderId="18" xfId="0" applyFont="1" applyFill="1" applyBorder="1" applyAlignment="1">
      <alignment wrapText="1"/>
    </xf>
    <xf numFmtId="0" fontId="9" fillId="3" borderId="20" xfId="0" quotePrefix="1" applyFont="1" applyFill="1" applyBorder="1" applyAlignment="1">
      <alignment horizontal="center"/>
    </xf>
    <xf numFmtId="0" fontId="9" fillId="3" borderId="21" xfId="0" applyFont="1" applyFill="1" applyBorder="1" applyAlignment="1">
      <alignment wrapText="1"/>
    </xf>
    <xf numFmtId="0" fontId="9" fillId="3" borderId="23" xfId="0" quotePrefix="1" applyFont="1" applyFill="1" applyBorder="1" applyAlignment="1">
      <alignment horizontal="center"/>
    </xf>
    <xf numFmtId="0" fontId="9" fillId="3" borderId="24" xfId="0" applyFont="1" applyFill="1" applyBorder="1" applyAlignment="1">
      <alignment wrapText="1"/>
    </xf>
    <xf numFmtId="166" fontId="9" fillId="3" borderId="25" xfId="1" applyNumberFormat="1" applyFont="1" applyFill="1" applyBorder="1"/>
    <xf numFmtId="0" fontId="9" fillId="3" borderId="11" xfId="0" quotePrefix="1" applyFont="1" applyFill="1" applyBorder="1" applyAlignment="1">
      <alignment horizontal="center"/>
    </xf>
    <xf numFmtId="41" fontId="8" fillId="3" borderId="10" xfId="0" applyNumberFormat="1" applyFont="1" applyFill="1" applyBorder="1"/>
    <xf numFmtId="0" fontId="8" fillId="3" borderId="1" xfId="0" quotePrefix="1" applyFont="1" applyFill="1" applyBorder="1" applyAlignment="1">
      <alignment horizontal="center"/>
    </xf>
    <xf numFmtId="0" fontId="10" fillId="3" borderId="17" xfId="0" applyFont="1" applyFill="1" applyBorder="1" applyAlignment="1"/>
    <xf numFmtId="0" fontId="8" fillId="3" borderId="18" xfId="0" applyFont="1" applyFill="1" applyBorder="1" applyAlignment="1">
      <alignment wrapText="1"/>
    </xf>
    <xf numFmtId="41" fontId="8" fillId="3" borderId="19" xfId="0" applyNumberFormat="1" applyFont="1" applyFill="1" applyBorder="1"/>
    <xf numFmtId="0" fontId="9" fillId="3" borderId="21" xfId="0" applyFont="1" applyFill="1" applyBorder="1" applyAlignment="1">
      <alignment horizontal="left" wrapText="1"/>
    </xf>
    <xf numFmtId="41" fontId="9" fillId="3" borderId="22" xfId="1" applyNumberFormat="1" applyFont="1" applyFill="1" applyBorder="1"/>
    <xf numFmtId="41" fontId="9" fillId="3" borderId="22" xfId="0" applyNumberFormat="1" applyFont="1" applyFill="1" applyBorder="1"/>
    <xf numFmtId="0" fontId="9" fillId="3" borderId="31" xfId="0" quotePrefix="1" applyFont="1" applyFill="1" applyBorder="1" applyAlignment="1">
      <alignment horizontal="center"/>
    </xf>
    <xf numFmtId="41" fontId="9" fillId="3" borderId="25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8" fillId="3" borderId="28" xfId="0" quotePrefix="1" applyFont="1" applyFill="1" applyBorder="1" applyAlignment="1">
      <alignment horizontal="center"/>
    </xf>
    <xf numFmtId="0" fontId="8" fillId="3" borderId="29" xfId="0" applyFont="1" applyFill="1" applyBorder="1" applyAlignment="1">
      <alignment wrapText="1"/>
    </xf>
    <xf numFmtId="41" fontId="8" fillId="3" borderId="27" xfId="0" applyNumberFormat="1" applyFont="1" applyFill="1" applyBorder="1"/>
    <xf numFmtId="0" fontId="8" fillId="3" borderId="6" xfId="0" quotePrefix="1" applyFont="1" applyFill="1" applyBorder="1" applyAlignment="1">
      <alignment horizontal="center"/>
    </xf>
    <xf numFmtId="0" fontId="8" fillId="3" borderId="46" xfId="0" applyFont="1" applyFill="1" applyBorder="1" applyAlignment="1">
      <alignment vertical="center"/>
    </xf>
    <xf numFmtId="0" fontId="8" fillId="3" borderId="46" xfId="0" applyFont="1" applyFill="1" applyBorder="1" applyAlignment="1">
      <alignment vertical="center" wrapText="1"/>
    </xf>
    <xf numFmtId="41" fontId="8" fillId="3" borderId="46" xfId="0" applyNumberFormat="1" applyFont="1" applyFill="1" applyBorder="1"/>
    <xf numFmtId="0" fontId="8" fillId="3" borderId="28" xfId="0" applyFont="1" applyFill="1" applyBorder="1" applyAlignment="1">
      <alignment horizontal="left"/>
    </xf>
    <xf numFmtId="0" fontId="8" fillId="3" borderId="19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vertical="center"/>
    </xf>
    <xf numFmtId="0" fontId="8" fillId="3" borderId="18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left" vertical="center" wrapText="1"/>
    </xf>
    <xf numFmtId="41" fontId="9" fillId="3" borderId="19" xfId="0" applyNumberFormat="1" applyFont="1" applyFill="1" applyBorder="1"/>
    <xf numFmtId="0" fontId="8" fillId="3" borderId="17" xfId="0" applyFont="1" applyFill="1" applyBorder="1" applyAlignment="1">
      <alignment horizontal="left"/>
    </xf>
    <xf numFmtId="0" fontId="8" fillId="3" borderId="18" xfId="0" applyFont="1" applyFill="1" applyBorder="1" applyAlignment="1">
      <alignment horizontal="left" wrapText="1"/>
    </xf>
    <xf numFmtId="0" fontId="8" fillId="3" borderId="28" xfId="0" applyFont="1" applyFill="1" applyBorder="1" applyAlignment="1"/>
    <xf numFmtId="0" fontId="8" fillId="3" borderId="1" xfId="0" applyFont="1" applyFill="1" applyBorder="1" applyAlignment="1">
      <alignment horizontal="center" vertical="top"/>
    </xf>
    <xf numFmtId="0" fontId="8" fillId="3" borderId="32" xfId="0" applyFont="1" applyFill="1" applyBorder="1" applyAlignment="1">
      <alignment horizontal="left"/>
    </xf>
    <xf numFmtId="0" fontId="8" fillId="3" borderId="33" xfId="0" applyFont="1" applyFill="1" applyBorder="1" applyAlignment="1">
      <alignment horizontal="left" wrapText="1"/>
    </xf>
    <xf numFmtId="0" fontId="8" fillId="3" borderId="6" xfId="0" quotePrefix="1" applyFont="1" applyFill="1" applyBorder="1" applyAlignment="1">
      <alignment horizontal="center" vertical="top"/>
    </xf>
    <xf numFmtId="0" fontId="8" fillId="3" borderId="1" xfId="0" quotePrefix="1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/>
    </xf>
    <xf numFmtId="0" fontId="9" fillId="3" borderId="47" xfId="0" applyFont="1" applyFill="1" applyBorder="1" applyAlignment="1">
      <alignment wrapText="1"/>
    </xf>
    <xf numFmtId="41" fontId="9" fillId="3" borderId="26" xfId="0" applyNumberFormat="1" applyFont="1" applyFill="1" applyBorder="1"/>
    <xf numFmtId="0" fontId="9" fillId="3" borderId="20" xfId="0" quotePrefix="1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/>
    </xf>
    <xf numFmtId="0" fontId="9" fillId="3" borderId="20" xfId="0" quotePrefix="1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vertical="center" wrapText="1"/>
    </xf>
    <xf numFmtId="0" fontId="8" fillId="3" borderId="28" xfId="0" applyFont="1" applyFill="1" applyBorder="1" applyAlignment="1">
      <alignment horizontal="left" vertical="top" wrapText="1"/>
    </xf>
    <xf numFmtId="0" fontId="8" fillId="3" borderId="19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center" vertical="top"/>
    </xf>
    <xf numFmtId="0" fontId="8" fillId="3" borderId="32" xfId="0" applyFont="1" applyFill="1" applyBorder="1" applyAlignment="1">
      <alignment horizontal="left" vertical="top"/>
    </xf>
    <xf numFmtId="0" fontId="8" fillId="3" borderId="20" xfId="0" applyFont="1" applyFill="1" applyBorder="1" applyAlignment="1">
      <alignment horizontal="left"/>
    </xf>
    <xf numFmtId="41" fontId="8" fillId="3" borderId="22" xfId="0" applyNumberFormat="1" applyFont="1" applyFill="1" applyBorder="1"/>
    <xf numFmtId="0" fontId="9" fillId="3" borderId="47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horizontal="left" vertical="top"/>
    </xf>
    <xf numFmtId="0" fontId="8" fillId="3" borderId="18" xfId="0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horizontal="center" vertical="center" wrapText="1"/>
    </xf>
    <xf numFmtId="41" fontId="8" fillId="3" borderId="36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8" fillId="3" borderId="45" xfId="0" applyNumberFormat="1" applyFont="1" applyFill="1" applyBorder="1" applyAlignment="1">
      <alignment horizontal="center"/>
    </xf>
    <xf numFmtId="166" fontId="8" fillId="3" borderId="10" xfId="0" applyNumberFormat="1" applyFont="1" applyFill="1" applyBorder="1" applyAlignment="1">
      <alignment horizontal="center"/>
    </xf>
    <xf numFmtId="166" fontId="8" fillId="3" borderId="14" xfId="0" applyNumberFormat="1" applyFont="1" applyFill="1" applyBorder="1" applyAlignment="1">
      <alignment horizontal="center"/>
    </xf>
    <xf numFmtId="43" fontId="9" fillId="3" borderId="19" xfId="1" applyFont="1" applyFill="1" applyBorder="1" applyAlignment="1">
      <alignment horizontal="center"/>
    </xf>
    <xf numFmtId="43" fontId="9" fillId="3" borderId="22" xfId="1" applyFont="1" applyFill="1" applyBorder="1" applyAlignment="1">
      <alignment horizontal="center"/>
    </xf>
    <xf numFmtId="43" fontId="9" fillId="3" borderId="25" xfId="1" applyFont="1" applyFill="1" applyBorder="1" applyAlignment="1">
      <alignment horizontal="center"/>
    </xf>
    <xf numFmtId="41" fontId="9" fillId="3" borderId="19" xfId="1" applyNumberFormat="1" applyFont="1" applyFill="1" applyBorder="1" applyAlignment="1">
      <alignment horizontal="center"/>
    </xf>
    <xf numFmtId="41" fontId="9" fillId="3" borderId="22" xfId="1" applyNumberFormat="1" applyFont="1" applyFill="1" applyBorder="1" applyAlignment="1">
      <alignment horizontal="center"/>
    </xf>
    <xf numFmtId="41" fontId="9" fillId="3" borderId="25" xfId="1" applyNumberFormat="1" applyFont="1" applyFill="1" applyBorder="1" applyAlignment="1">
      <alignment horizontal="center"/>
    </xf>
    <xf numFmtId="41" fontId="8" fillId="3" borderId="27" xfId="0" applyNumberFormat="1" applyFont="1" applyFill="1" applyBorder="1" applyAlignment="1">
      <alignment horizontal="center"/>
    </xf>
    <xf numFmtId="41" fontId="9" fillId="3" borderId="46" xfId="1" applyNumberFormat="1" applyFont="1" applyFill="1" applyBorder="1" applyAlignment="1">
      <alignment horizontal="center"/>
    </xf>
    <xf numFmtId="41" fontId="9" fillId="3" borderId="37" xfId="1" applyNumberFormat="1" applyFont="1" applyFill="1" applyBorder="1" applyAlignment="1">
      <alignment horizontal="center"/>
    </xf>
    <xf numFmtId="41" fontId="11" fillId="3" borderId="30" xfId="2" applyNumberFormat="1" applyFont="1" applyFill="1" applyBorder="1" applyAlignment="1">
      <alignment vertical="center"/>
    </xf>
    <xf numFmtId="41" fontId="9" fillId="3" borderId="26" xfId="1" applyNumberFormat="1" applyFont="1" applyFill="1" applyBorder="1" applyAlignment="1">
      <alignment horizontal="center"/>
    </xf>
    <xf numFmtId="41" fontId="11" fillId="3" borderId="48" xfId="2" applyNumberFormat="1" applyFont="1" applyFill="1" applyBorder="1" applyAlignment="1">
      <alignment vertical="center"/>
    </xf>
    <xf numFmtId="0" fontId="0" fillId="3" borderId="0" xfId="0" applyFill="1"/>
    <xf numFmtId="0" fontId="0" fillId="3" borderId="0" xfId="0" applyFill="1" applyBorder="1"/>
    <xf numFmtId="0" fontId="6" fillId="3" borderId="41" xfId="0" applyFont="1" applyFill="1" applyBorder="1"/>
    <xf numFmtId="43" fontId="9" fillId="3" borderId="19" xfId="1" applyFont="1" applyFill="1" applyBorder="1"/>
    <xf numFmtId="43" fontId="9" fillId="3" borderId="22" xfId="1" applyFont="1" applyFill="1" applyBorder="1"/>
    <xf numFmtId="43" fontId="9" fillId="3" borderId="25" xfId="1" applyFont="1" applyFill="1" applyBorder="1"/>
    <xf numFmtId="43" fontId="9" fillId="3" borderId="46" xfId="1" applyFont="1" applyFill="1" applyBorder="1"/>
    <xf numFmtId="41" fontId="11" fillId="3" borderId="22" xfId="0" applyNumberFormat="1" applyFont="1" applyFill="1" applyBorder="1" applyAlignment="1">
      <alignment horizontal="center" vertical="center" wrapText="1"/>
    </xf>
    <xf numFmtId="43" fontId="9" fillId="3" borderId="26" xfId="1" applyFont="1" applyFill="1" applyBorder="1"/>
    <xf numFmtId="166" fontId="8" fillId="3" borderId="27" xfId="0" applyNumberFormat="1" applyFont="1" applyFill="1" applyBorder="1"/>
    <xf numFmtId="41" fontId="11" fillId="3" borderId="26" xfId="0" applyNumberFormat="1" applyFont="1" applyFill="1" applyBorder="1" applyAlignment="1">
      <alignment horizontal="center" vertical="center" wrapText="1"/>
    </xf>
    <xf numFmtId="0" fontId="9" fillId="3" borderId="49" xfId="0" quotePrefix="1" applyFont="1" applyFill="1" applyBorder="1" applyAlignment="1">
      <alignment horizontal="center"/>
    </xf>
    <xf numFmtId="0" fontId="9" fillId="3" borderId="49" xfId="0" applyFont="1" applyFill="1" applyBorder="1" applyAlignment="1"/>
    <xf numFmtId="0" fontId="9" fillId="3" borderId="50" xfId="0" applyFont="1" applyFill="1" applyBorder="1" applyAlignment="1">
      <alignment wrapText="1"/>
    </xf>
    <xf numFmtId="43" fontId="8" fillId="3" borderId="10" xfId="1" applyFont="1" applyFill="1" applyBorder="1"/>
    <xf numFmtId="166" fontId="9" fillId="3" borderId="14" xfId="1" applyNumberFormat="1" applyFont="1" applyFill="1" applyBorder="1" applyAlignment="1">
      <alignment horizontal="right" wrapText="1"/>
    </xf>
    <xf numFmtId="41" fontId="9" fillId="3" borderId="6" xfId="1" applyNumberFormat="1" applyFont="1" applyFill="1" applyBorder="1"/>
    <xf numFmtId="43" fontId="9" fillId="3" borderId="10" xfId="1" applyFont="1" applyFill="1" applyBorder="1"/>
    <xf numFmtId="41" fontId="9" fillId="3" borderId="14" xfId="0" applyNumberFormat="1" applyFont="1" applyFill="1" applyBorder="1"/>
    <xf numFmtId="166" fontId="9" fillId="3" borderId="16" xfId="1" applyNumberFormat="1" applyFont="1" applyFill="1" applyBorder="1" applyAlignment="1">
      <alignment horizontal="right" wrapText="1"/>
    </xf>
    <xf numFmtId="41" fontId="9" fillId="3" borderId="1" xfId="1" applyNumberFormat="1" applyFont="1" applyFill="1" applyBorder="1"/>
    <xf numFmtId="41" fontId="9" fillId="3" borderId="16" xfId="0" applyNumberFormat="1" applyFont="1" applyFill="1" applyBorder="1"/>
    <xf numFmtId="41" fontId="8" fillId="3" borderId="14" xfId="0" applyNumberFormat="1" applyFont="1" applyFill="1" applyBorder="1"/>
    <xf numFmtId="41" fontId="8" fillId="3" borderId="16" xfId="0" applyNumberFormat="1" applyFont="1" applyFill="1" applyBorder="1"/>
    <xf numFmtId="41" fontId="9" fillId="3" borderId="19" xfId="1" applyNumberFormat="1" applyFont="1" applyFill="1" applyBorder="1"/>
    <xf numFmtId="41" fontId="9" fillId="3" borderId="25" xfId="1" applyNumberFormat="1" applyFont="1" applyFill="1" applyBorder="1"/>
    <xf numFmtId="0" fontId="5" fillId="3" borderId="22" xfId="0" applyFont="1" applyFill="1" applyBorder="1"/>
    <xf numFmtId="41" fontId="8" fillId="3" borderId="27" xfId="1" applyNumberFormat="1" applyFont="1" applyFill="1" applyBorder="1"/>
    <xf numFmtId="41" fontId="9" fillId="3" borderId="46" xfId="1" applyNumberFormat="1" applyFont="1" applyFill="1" applyBorder="1"/>
    <xf numFmtId="41" fontId="9" fillId="3" borderId="26" xfId="1" applyNumberFormat="1" applyFont="1" applyFill="1" applyBorder="1"/>
    <xf numFmtId="166" fontId="8" fillId="3" borderId="36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41" fontId="0" fillId="0" borderId="0" xfId="2" applyFont="1"/>
    <xf numFmtId="41" fontId="0" fillId="2" borderId="0" xfId="2" applyFont="1" applyFill="1"/>
    <xf numFmtId="0" fontId="9" fillId="3" borderId="2" xfId="0" quotePrefix="1" applyFont="1" applyFill="1" applyBorder="1" applyAlignment="1">
      <alignment horizontal="center"/>
    </xf>
    <xf numFmtId="41" fontId="9" fillId="3" borderId="1" xfId="1" applyNumberFormat="1" applyFont="1" applyFill="1" applyBorder="1" applyAlignment="1">
      <alignment horizontal="center"/>
    </xf>
    <xf numFmtId="43" fontId="9" fillId="3" borderId="1" xfId="1" applyFont="1" applyFill="1" applyBorder="1"/>
    <xf numFmtId="0" fontId="8" fillId="3" borderId="34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left" vertical="center"/>
    </xf>
    <xf numFmtId="0" fontId="8" fillId="3" borderId="0" xfId="0" quotePrefix="1" applyFont="1" applyFill="1"/>
    <xf numFmtId="0" fontId="9" fillId="3" borderId="0" xfId="0" applyFont="1" applyFill="1" applyAlignment="1"/>
    <xf numFmtId="0" fontId="9" fillId="3" borderId="0" xfId="0" quotePrefix="1" applyFont="1" applyFill="1" applyAlignment="1">
      <alignment wrapText="1"/>
    </xf>
    <xf numFmtId="0" fontId="9" fillId="3" borderId="0" xfId="0" applyFont="1" applyFill="1"/>
    <xf numFmtId="0" fontId="8" fillId="3" borderId="0" xfId="0" applyFont="1" applyFill="1"/>
    <xf numFmtId="0" fontId="9" fillId="3" borderId="0" xfId="0" applyFont="1" applyFill="1" applyAlignment="1">
      <alignment wrapText="1"/>
    </xf>
    <xf numFmtId="41" fontId="12" fillId="3" borderId="0" xfId="0" applyNumberFormat="1" applyFont="1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/>
    <xf numFmtId="0" fontId="11" fillId="3" borderId="0" xfId="0" applyFont="1" applyFill="1" applyAlignment="1">
      <alignment wrapText="1"/>
    </xf>
    <xf numFmtId="41" fontId="0" fillId="0" borderId="0" xfId="0" applyNumberFormat="1"/>
    <xf numFmtId="41" fontId="9" fillId="3" borderId="1" xfId="0" applyNumberFormat="1" applyFont="1" applyFill="1" applyBorder="1"/>
    <xf numFmtId="41" fontId="11" fillId="3" borderId="0" xfId="2" applyNumberFormat="1" applyFont="1" applyFill="1" applyBorder="1" applyAlignment="1">
      <alignment vertical="center"/>
    </xf>
    <xf numFmtId="41" fontId="11" fillId="3" borderId="1" xfId="0" applyNumberFormat="1" applyFont="1" applyFill="1" applyBorder="1" applyAlignment="1">
      <alignment horizontal="center" vertical="center" wrapText="1"/>
    </xf>
    <xf numFmtId="41" fontId="8" fillId="3" borderId="1" xfId="0" applyNumberFormat="1" applyFont="1" applyFill="1" applyBorder="1"/>
    <xf numFmtId="0" fontId="8" fillId="3" borderId="5" xfId="0" applyFont="1" applyFill="1" applyBorder="1" applyAlignment="1">
      <alignment horizontal="center"/>
    </xf>
    <xf numFmtId="0" fontId="9" fillId="3" borderId="30" xfId="0" quotePrefix="1" applyFont="1" applyFill="1" applyBorder="1" applyAlignment="1">
      <alignment horizontal="center"/>
    </xf>
    <xf numFmtId="0" fontId="8" fillId="3" borderId="2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horizontal="left" vertical="top" wrapText="1"/>
    </xf>
    <xf numFmtId="41" fontId="9" fillId="3" borderId="3" xfId="1" applyNumberFormat="1" applyFont="1" applyFill="1" applyBorder="1"/>
    <xf numFmtId="43" fontId="9" fillId="3" borderId="3" xfId="1" applyFont="1" applyFill="1" applyBorder="1"/>
    <xf numFmtId="0" fontId="8" fillId="3" borderId="33" xfId="0" applyFont="1" applyFill="1" applyBorder="1" applyAlignment="1">
      <alignment horizontal="left" vertical="top" wrapText="1"/>
    </xf>
    <xf numFmtId="166" fontId="9" fillId="3" borderId="16" xfId="1" applyNumberFormat="1" applyFont="1" applyFill="1" applyBorder="1" applyAlignment="1">
      <alignment horizontal="center" wrapText="1"/>
    </xf>
    <xf numFmtId="41" fontId="8" fillId="3" borderId="14" xfId="0" applyNumberFormat="1" applyFont="1" applyFill="1" applyBorder="1" applyAlignment="1">
      <alignment horizontal="center"/>
    </xf>
    <xf numFmtId="166" fontId="9" fillId="3" borderId="19" xfId="1" applyNumberFormat="1" applyFont="1" applyFill="1" applyBorder="1" applyAlignment="1">
      <alignment horizontal="center"/>
    </xf>
    <xf numFmtId="166" fontId="9" fillId="3" borderId="1" xfId="1" applyNumberFormat="1" applyFont="1" applyFill="1" applyBorder="1" applyAlignment="1">
      <alignment horizontal="center"/>
    </xf>
    <xf numFmtId="41" fontId="8" fillId="3" borderId="10" xfId="0" applyNumberFormat="1" applyFont="1" applyFill="1" applyBorder="1" applyAlignment="1">
      <alignment horizontal="center"/>
    </xf>
    <xf numFmtId="41" fontId="8" fillId="3" borderId="27" xfId="1" applyNumberFormat="1" applyFont="1" applyFill="1" applyBorder="1" applyAlignment="1">
      <alignment horizontal="center"/>
    </xf>
    <xf numFmtId="41" fontId="9" fillId="3" borderId="6" xfId="1" applyNumberFormat="1" applyFont="1" applyFill="1" applyBorder="1" applyAlignment="1">
      <alignment horizontal="center"/>
    </xf>
    <xf numFmtId="166" fontId="9" fillId="3" borderId="26" xfId="1" applyNumberFormat="1" applyFont="1" applyFill="1" applyBorder="1" applyAlignment="1">
      <alignment horizontal="center" wrapText="1"/>
    </xf>
    <xf numFmtId="166" fontId="9" fillId="3" borderId="5" xfId="1" applyNumberFormat="1" applyFont="1" applyFill="1" applyBorder="1" applyAlignment="1">
      <alignment horizontal="center" wrapText="1"/>
    </xf>
    <xf numFmtId="41" fontId="9" fillId="3" borderId="22" xfId="0" applyNumberFormat="1" applyFont="1" applyFill="1" applyBorder="1" applyAlignment="1">
      <alignment horizontal="center"/>
    </xf>
    <xf numFmtId="41" fontId="9" fillId="3" borderId="25" xfId="0" applyNumberFormat="1" applyFont="1" applyFill="1" applyBorder="1" applyAlignment="1">
      <alignment horizontal="center"/>
    </xf>
    <xf numFmtId="166" fontId="9" fillId="3" borderId="3" xfId="1" applyNumberFormat="1" applyFont="1" applyFill="1" applyBorder="1" applyAlignment="1">
      <alignment horizontal="center" wrapText="1"/>
    </xf>
    <xf numFmtId="41" fontId="8" fillId="3" borderId="27" xfId="0" applyNumberFormat="1" applyFont="1" applyFill="1" applyBorder="1" applyAlignment="1"/>
    <xf numFmtId="0" fontId="9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wrapText="1"/>
    </xf>
    <xf numFmtId="41" fontId="9" fillId="3" borderId="3" xfId="0" applyNumberFormat="1" applyFont="1" applyFill="1" applyBorder="1"/>
    <xf numFmtId="166" fontId="9" fillId="3" borderId="19" xfId="1" applyNumberFormat="1" applyFont="1" applyFill="1" applyBorder="1" applyAlignment="1">
      <alignment horizontal="center" wrapText="1"/>
    </xf>
    <xf numFmtId="41" fontId="9" fillId="3" borderId="1" xfId="0" applyNumberFormat="1" applyFont="1" applyFill="1" applyBorder="1" applyAlignment="1">
      <alignment horizontal="center"/>
    </xf>
    <xf numFmtId="43" fontId="9" fillId="3" borderId="22" xfId="1" applyFont="1" applyFill="1" applyBorder="1" applyAlignment="1"/>
    <xf numFmtId="43" fontId="9" fillId="3" borderId="19" xfId="1" applyFont="1" applyFill="1" applyBorder="1" applyAlignment="1"/>
    <xf numFmtId="43" fontId="9" fillId="3" borderId="25" xfId="1" applyFont="1" applyFill="1" applyBorder="1" applyAlignment="1"/>
    <xf numFmtId="41" fontId="11" fillId="3" borderId="22" xfId="0" applyNumberFormat="1" applyFont="1" applyFill="1" applyBorder="1" applyAlignment="1">
      <alignment vertical="center" wrapText="1"/>
    </xf>
    <xf numFmtId="41" fontId="9" fillId="3" borderId="5" xfId="1" applyNumberFormat="1" applyFont="1" applyFill="1" applyBorder="1"/>
    <xf numFmtId="167" fontId="8" fillId="3" borderId="36" xfId="0" applyNumberFormat="1" applyFont="1" applyFill="1" applyBorder="1" applyAlignment="1">
      <alignment horizontal="center" vertical="center"/>
    </xf>
    <xf numFmtId="167" fontId="8" fillId="3" borderId="10" xfId="0" applyNumberFormat="1" applyFont="1" applyFill="1" applyBorder="1"/>
    <xf numFmtId="43" fontId="8" fillId="3" borderId="10" xfId="0" applyNumberFormat="1" applyFont="1" applyFill="1" applyBorder="1"/>
    <xf numFmtId="43" fontId="8" fillId="3" borderId="10" xfId="0" applyNumberFormat="1" applyFont="1" applyFill="1" applyBorder="1" applyAlignment="1">
      <alignment horizontal="center"/>
    </xf>
    <xf numFmtId="167" fontId="8" fillId="3" borderId="10" xfId="1" applyNumberFormat="1" applyFont="1" applyFill="1" applyBorder="1"/>
    <xf numFmtId="41" fontId="9" fillId="3" borderId="5" xfId="1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0" xfId="0" quotePrefix="1" applyFont="1" applyBorder="1" applyAlignment="1"/>
    <xf numFmtId="0" fontId="20" fillId="0" borderId="0" xfId="0" quotePrefix="1" applyFont="1" applyBorder="1"/>
    <xf numFmtId="0" fontId="20" fillId="3" borderId="0" xfId="0" applyFont="1" applyFill="1" applyBorder="1" applyAlignment="1">
      <alignment horizontal="center"/>
    </xf>
    <xf numFmtId="0" fontId="20" fillId="3" borderId="0" xfId="0" applyFont="1" applyFill="1" applyBorder="1"/>
    <xf numFmtId="166" fontId="19" fillId="0" borderId="0" xfId="1" applyNumberFormat="1" applyFont="1" applyBorder="1" applyAlignment="1">
      <alignment horizontal="right" wrapText="1"/>
    </xf>
    <xf numFmtId="0" fontId="19" fillId="0" borderId="0" xfId="0" applyFont="1" applyBorder="1" applyAlignment="1"/>
    <xf numFmtId="166" fontId="19" fillId="0" borderId="0" xfId="0" applyNumberFormat="1" applyFont="1" applyBorder="1" applyAlignment="1"/>
    <xf numFmtId="0" fontId="20" fillId="0" borderId="0" xfId="0" applyFont="1" applyBorder="1"/>
    <xf numFmtId="41" fontId="20" fillId="0" borderId="0" xfId="2" applyFont="1" applyBorder="1"/>
    <xf numFmtId="0" fontId="20" fillId="0" borderId="0" xfId="0" applyFont="1"/>
    <xf numFmtId="0" fontId="21" fillId="0" borderId="0" xfId="0" quotePrefix="1" applyFont="1" applyBorder="1" applyAlignment="1">
      <alignment wrapText="1"/>
    </xf>
    <xf numFmtId="0" fontId="20" fillId="0" borderId="27" xfId="0" applyFont="1" applyBorder="1"/>
    <xf numFmtId="0" fontId="20" fillId="0" borderId="27" xfId="0" applyFont="1" applyBorder="1" applyAlignment="1">
      <alignment horizontal="center" vertical="center" wrapText="1"/>
    </xf>
    <xf numFmtId="0" fontId="20" fillId="0" borderId="27" xfId="0" applyFont="1" applyBorder="1" applyAlignment="1">
      <alignment vertical="center"/>
    </xf>
    <xf numFmtId="0" fontId="20" fillId="0" borderId="27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/>
    </xf>
    <xf numFmtId="0" fontId="20" fillId="3" borderId="27" xfId="0" applyFont="1" applyFill="1" applyBorder="1"/>
    <xf numFmtId="41" fontId="20" fillId="3" borderId="27" xfId="2" applyFont="1" applyFill="1" applyBorder="1"/>
    <xf numFmtId="0" fontId="20" fillId="0" borderId="27" xfId="0" applyFont="1" applyBorder="1" applyAlignment="1">
      <alignment wrapText="1"/>
    </xf>
    <xf numFmtId="0" fontId="20" fillId="4" borderId="27" xfId="0" applyFont="1" applyFill="1" applyBorder="1"/>
    <xf numFmtId="41" fontId="20" fillId="4" borderId="27" xfId="0" applyNumberFormat="1" applyFont="1" applyFill="1" applyBorder="1"/>
    <xf numFmtId="0" fontId="20" fillId="0" borderId="0" xfId="0" applyFont="1" applyBorder="1" applyAlignment="1"/>
    <xf numFmtId="0" fontId="20" fillId="0" borderId="27" xfId="0" applyFont="1" applyBorder="1" applyAlignment="1">
      <alignment horizontal="center"/>
    </xf>
    <xf numFmtId="0" fontId="9" fillId="3" borderId="23" xfId="0" quotePrefix="1" applyFont="1" applyFill="1" applyBorder="1" applyAlignment="1">
      <alignment horizontal="center" vertical="top"/>
    </xf>
    <xf numFmtId="0" fontId="9" fillId="3" borderId="24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left" vertical="top" wrapText="1"/>
    </xf>
    <xf numFmtId="0" fontId="5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1" fontId="8" fillId="3" borderId="3" xfId="0" applyNumberFormat="1" applyFont="1" applyFill="1" applyBorder="1"/>
    <xf numFmtId="0" fontId="8" fillId="3" borderId="27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center" vertical="center" wrapText="1"/>
    </xf>
    <xf numFmtId="41" fontId="8" fillId="3" borderId="27" xfId="0" applyNumberFormat="1" applyFont="1" applyFill="1" applyBorder="1" applyAlignment="1">
      <alignment horizontal="center" vertical="center"/>
    </xf>
    <xf numFmtId="0" fontId="8" fillId="3" borderId="27" xfId="0" quotePrefix="1" applyFont="1" applyFill="1" applyBorder="1" applyAlignment="1">
      <alignment horizontal="center"/>
    </xf>
    <xf numFmtId="0" fontId="8" fillId="3" borderId="32" xfId="0" applyFont="1" applyFill="1" applyBorder="1" applyAlignment="1">
      <alignment horizontal="left"/>
    </xf>
    <xf numFmtId="0" fontId="9" fillId="3" borderId="28" xfId="0" quotePrefix="1" applyFont="1" applyFill="1" applyBorder="1" applyAlignment="1">
      <alignment horizontal="center"/>
    </xf>
    <xf numFmtId="0" fontId="0" fillId="0" borderId="6" xfId="0" applyBorder="1"/>
    <xf numFmtId="41" fontId="11" fillId="3" borderId="22" xfId="2" applyNumberFormat="1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41" fontId="9" fillId="5" borderId="22" xfId="1" applyNumberFormat="1" applyFont="1" applyFill="1" applyBorder="1" applyAlignment="1">
      <alignment horizontal="center"/>
    </xf>
    <xf numFmtId="41" fontId="9" fillId="5" borderId="25" xfId="1" applyNumberFormat="1" applyFont="1" applyFill="1" applyBorder="1" applyAlignment="1">
      <alignment horizontal="center"/>
    </xf>
    <xf numFmtId="41" fontId="9" fillId="5" borderId="19" xfId="1" applyNumberFormat="1" applyFont="1" applyFill="1" applyBorder="1" applyAlignment="1">
      <alignment horizontal="center"/>
    </xf>
    <xf numFmtId="41" fontId="11" fillId="5" borderId="22" xfId="2" applyNumberFormat="1" applyFont="1" applyFill="1" applyBorder="1" applyAlignment="1">
      <alignment vertical="center"/>
    </xf>
    <xf numFmtId="41" fontId="11" fillId="5" borderId="22" xfId="2" applyNumberFormat="1" applyFont="1" applyFill="1" applyBorder="1" applyAlignment="1"/>
    <xf numFmtId="41" fontId="11" fillId="5" borderId="1" xfId="2" applyNumberFormat="1" applyFont="1" applyFill="1" applyBorder="1" applyAlignment="1">
      <alignment vertical="center"/>
    </xf>
    <xf numFmtId="41" fontId="9" fillId="5" borderId="26" xfId="1" applyNumberFormat="1" applyFont="1" applyFill="1" applyBorder="1" applyAlignment="1">
      <alignment horizontal="center"/>
    </xf>
    <xf numFmtId="41" fontId="11" fillId="3" borderId="26" xfId="2" applyNumberFormat="1" applyFont="1" applyFill="1" applyBorder="1" applyAlignment="1"/>
    <xf numFmtId="41" fontId="8" fillId="5" borderId="1" xfId="0" applyNumberFormat="1" applyFont="1" applyFill="1" applyBorder="1"/>
    <xf numFmtId="0" fontId="9" fillId="3" borderId="7" xfId="0" applyFont="1" applyFill="1" applyBorder="1" applyAlignment="1">
      <alignment wrapText="1"/>
    </xf>
    <xf numFmtId="41" fontId="11" fillId="5" borderId="26" xfId="2" applyNumberFormat="1" applyFont="1" applyFill="1" applyBorder="1" applyAlignment="1">
      <alignment vertical="center"/>
    </xf>
    <xf numFmtId="166" fontId="9" fillId="5" borderId="19" xfId="1" applyNumberFormat="1" applyFont="1" applyFill="1" applyBorder="1" applyAlignment="1">
      <alignment horizontal="center"/>
    </xf>
    <xf numFmtId="166" fontId="9" fillId="5" borderId="22" xfId="1" applyNumberFormat="1" applyFont="1" applyFill="1" applyBorder="1" applyAlignment="1">
      <alignment horizontal="center"/>
    </xf>
    <xf numFmtId="166" fontId="9" fillId="5" borderId="25" xfId="1" applyNumberFormat="1" applyFont="1" applyFill="1" applyBorder="1" applyAlignment="1">
      <alignment horizontal="center"/>
    </xf>
    <xf numFmtId="41" fontId="23" fillId="3" borderId="0" xfId="2" applyFont="1" applyFill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" xfId="0" quotePrefix="1" applyFont="1" applyFill="1" applyBorder="1" applyAlignment="1">
      <alignment horizontal="center"/>
    </xf>
    <xf numFmtId="41" fontId="1" fillId="2" borderId="0" xfId="2" applyFont="1" applyFill="1"/>
    <xf numFmtId="0" fontId="0" fillId="2" borderId="0" xfId="0" applyFont="1" applyFill="1"/>
    <xf numFmtId="0" fontId="9" fillId="3" borderId="23" xfId="0" quotePrefix="1" applyFont="1" applyFill="1" applyBorder="1" applyAlignment="1">
      <alignment horizontal="center" vertical="center"/>
    </xf>
    <xf numFmtId="0" fontId="9" fillId="3" borderId="2" xfId="0" quotePrefix="1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 wrapText="1"/>
    </xf>
    <xf numFmtId="41" fontId="8" fillId="3" borderId="5" xfId="0" applyNumberFormat="1" applyFont="1" applyFill="1" applyBorder="1"/>
    <xf numFmtId="41" fontId="8" fillId="3" borderId="5" xfId="0" applyNumberFormat="1" applyFont="1" applyFill="1" applyBorder="1" applyAlignment="1">
      <alignment horizontal="center"/>
    </xf>
    <xf numFmtId="41" fontId="8" fillId="3" borderId="46" xfId="0" applyNumberFormat="1" applyFont="1" applyFill="1" applyBorder="1" applyAlignment="1">
      <alignment horizontal="center"/>
    </xf>
    <xf numFmtId="41" fontId="9" fillId="3" borderId="5" xfId="0" applyNumberFormat="1" applyFont="1" applyFill="1" applyBorder="1"/>
    <xf numFmtId="0" fontId="5" fillId="3" borderId="3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14" fillId="0" borderId="0" xfId="0" applyFont="1" applyBorder="1" applyAlignment="1">
      <alignment wrapText="1"/>
    </xf>
    <xf numFmtId="0" fontId="8" fillId="3" borderId="33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8" fillId="3" borderId="32" xfId="0" applyFont="1" applyFill="1" applyBorder="1" applyAlignment="1">
      <alignment horizontal="left"/>
    </xf>
    <xf numFmtId="166" fontId="8" fillId="3" borderId="14" xfId="1" applyNumberFormat="1" applyFont="1" applyFill="1" applyBorder="1" applyAlignment="1">
      <alignment horizontal="right"/>
    </xf>
    <xf numFmtId="166" fontId="9" fillId="3" borderId="22" xfId="1" applyNumberFormat="1" applyFont="1" applyFill="1" applyBorder="1" applyAlignment="1">
      <alignment horizontal="center"/>
    </xf>
    <xf numFmtId="166" fontId="9" fillId="3" borderId="25" xfId="1" applyNumberFormat="1" applyFont="1" applyFill="1" applyBorder="1" applyAlignment="1">
      <alignment horizontal="center"/>
    </xf>
    <xf numFmtId="167" fontId="9" fillId="3" borderId="22" xfId="0" applyNumberFormat="1" applyFont="1" applyFill="1" applyBorder="1"/>
    <xf numFmtId="167" fontId="9" fillId="3" borderId="25" xfId="0" applyNumberFormat="1" applyFont="1" applyFill="1" applyBorder="1"/>
    <xf numFmtId="167" fontId="9" fillId="3" borderId="22" xfId="1" applyNumberFormat="1" applyFont="1" applyFill="1" applyBorder="1"/>
    <xf numFmtId="167" fontId="8" fillId="3" borderId="27" xfId="0" applyNumberFormat="1" applyFont="1" applyFill="1" applyBorder="1"/>
    <xf numFmtId="0" fontId="2" fillId="3" borderId="0" xfId="0" applyFont="1" applyFill="1" applyAlignment="1">
      <alignment horizontal="center"/>
    </xf>
    <xf numFmtId="166" fontId="4" fillId="3" borderId="0" xfId="1" applyNumberFormat="1" applyFont="1" applyFill="1" applyAlignment="1">
      <alignment horizontal="right" wrapText="1"/>
    </xf>
    <xf numFmtId="166" fontId="4" fillId="3" borderId="0" xfId="1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8" fillId="3" borderId="32" xfId="0" applyFont="1" applyFill="1" applyBorder="1" applyAlignment="1">
      <alignment horizontal="left"/>
    </xf>
    <xf numFmtId="167" fontId="9" fillId="3" borderId="19" xfId="0" applyNumberFormat="1" applyFont="1" applyFill="1" applyBorder="1"/>
    <xf numFmtId="167" fontId="9" fillId="3" borderId="19" xfId="1" applyNumberFormat="1" applyFont="1" applyFill="1" applyBorder="1"/>
    <xf numFmtId="167" fontId="9" fillId="3" borderId="26" xfId="0" applyNumberFormat="1" applyFont="1" applyFill="1" applyBorder="1"/>
    <xf numFmtId="166" fontId="9" fillId="3" borderId="26" xfId="1" applyNumberFormat="1" applyFont="1" applyFill="1" applyBorder="1" applyAlignment="1">
      <alignment horizontal="center"/>
    </xf>
    <xf numFmtId="167" fontId="9" fillId="3" borderId="26" xfId="1" applyNumberFormat="1" applyFont="1" applyFill="1" applyBorder="1"/>
    <xf numFmtId="166" fontId="9" fillId="3" borderId="5" xfId="1" applyNumberFormat="1" applyFont="1" applyFill="1" applyBorder="1" applyAlignment="1">
      <alignment horizontal="center"/>
    </xf>
    <xf numFmtId="167" fontId="9" fillId="3" borderId="5" xfId="0" applyNumberFormat="1" applyFont="1" applyFill="1" applyBorder="1"/>
    <xf numFmtId="167" fontId="9" fillId="3" borderId="5" xfId="1" applyNumberFormat="1" applyFont="1" applyFill="1" applyBorder="1"/>
    <xf numFmtId="41" fontId="8" fillId="3" borderId="54" xfId="0" applyNumberFormat="1" applyFont="1" applyFill="1" applyBorder="1"/>
    <xf numFmtId="167" fontId="8" fillId="3" borderId="54" xfId="0" applyNumberFormat="1" applyFont="1" applyFill="1" applyBorder="1"/>
    <xf numFmtId="41" fontId="8" fillId="3" borderId="5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166" fontId="5" fillId="3" borderId="6" xfId="1" applyNumberFormat="1" applyFont="1" applyFill="1" applyBorder="1" applyAlignment="1">
      <alignment horizontal="center" vertical="center" wrapText="1"/>
    </xf>
    <xf numFmtId="167" fontId="8" fillId="3" borderId="5" xfId="0" applyNumberFormat="1" applyFont="1" applyFill="1" applyBorder="1"/>
    <xf numFmtId="167" fontId="8" fillId="3" borderId="27" xfId="1" applyNumberFormat="1" applyFont="1" applyFill="1" applyBorder="1"/>
    <xf numFmtId="41" fontId="25" fillId="0" borderId="0" xfId="2" applyFont="1"/>
    <xf numFmtId="166" fontId="5" fillId="3" borderId="36" xfId="0" applyNumberFormat="1" applyFont="1" applyFill="1" applyBorder="1" applyAlignment="1">
      <alignment horizontal="center" vertical="center"/>
    </xf>
    <xf numFmtId="166" fontId="25" fillId="3" borderId="0" xfId="0" applyNumberFormat="1" applyFont="1" applyFill="1"/>
    <xf numFmtId="3" fontId="26" fillId="3" borderId="10" xfId="0" applyNumberFormat="1" applyFont="1" applyFill="1" applyBorder="1" applyAlignment="1">
      <alignment horizontal="right"/>
    </xf>
    <xf numFmtId="3" fontId="26" fillId="3" borderId="0" xfId="0" applyNumberFormat="1" applyFont="1" applyFill="1" applyAlignment="1">
      <alignment horizontal="right"/>
    </xf>
    <xf numFmtId="3" fontId="24" fillId="3" borderId="0" xfId="0" applyNumberFormat="1" applyFont="1" applyFill="1"/>
    <xf numFmtId="10" fontId="9" fillId="3" borderId="19" xfId="1" applyNumberFormat="1" applyFont="1" applyFill="1" applyBorder="1"/>
    <xf numFmtId="10" fontId="8" fillId="3" borderId="10" xfId="0" applyNumberFormat="1" applyFont="1" applyFill="1" applyBorder="1"/>
    <xf numFmtId="10" fontId="8" fillId="3" borderId="27" xfId="0" applyNumberFormat="1" applyFont="1" applyFill="1" applyBorder="1"/>
    <xf numFmtId="43" fontId="9" fillId="3" borderId="10" xfId="1" applyNumberFormat="1" applyFont="1" applyFill="1" applyBorder="1"/>
    <xf numFmtId="10" fontId="9" fillId="3" borderId="10" xfId="1" applyNumberFormat="1" applyFont="1" applyFill="1" applyBorder="1"/>
    <xf numFmtId="10" fontId="8" fillId="3" borderId="10" xfId="0" applyNumberFormat="1" applyFont="1" applyFill="1" applyBorder="1" applyAlignment="1">
      <alignment horizontal="right"/>
    </xf>
    <xf numFmtId="10" fontId="8" fillId="3" borderId="36" xfId="0" applyNumberFormat="1" applyFont="1" applyFill="1" applyBorder="1" applyAlignment="1">
      <alignment horizontal="center" vertical="center"/>
    </xf>
    <xf numFmtId="43" fontId="8" fillId="3" borderId="14" xfId="1" applyNumberFormat="1" applyFont="1" applyFill="1" applyBorder="1" applyAlignment="1">
      <alignment horizontal="right"/>
    </xf>
    <xf numFmtId="10" fontId="9" fillId="3" borderId="22" xfId="1" applyNumberFormat="1" applyFont="1" applyFill="1" applyBorder="1"/>
    <xf numFmtId="167" fontId="8" fillId="3" borderId="5" xfId="1" applyNumberFormat="1" applyFont="1" applyFill="1" applyBorder="1"/>
    <xf numFmtId="9" fontId="0" fillId="0" borderId="0" xfId="2" applyNumberFormat="1" applyFo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 wrapText="1"/>
    </xf>
    <xf numFmtId="41" fontId="8" fillId="3" borderId="0" xfId="0" applyNumberFormat="1" applyFont="1" applyFill="1" applyBorder="1" applyAlignment="1">
      <alignment horizontal="center" vertical="center"/>
    </xf>
    <xf numFmtId="167" fontId="8" fillId="3" borderId="0" xfId="0" applyNumberFormat="1" applyFont="1" applyFill="1" applyBorder="1" applyAlignment="1">
      <alignment horizontal="center" vertical="center"/>
    </xf>
    <xf numFmtId="10" fontId="8" fillId="3" borderId="0" xfId="0" applyNumberFormat="1" applyFont="1" applyFill="1" applyBorder="1" applyAlignment="1">
      <alignment horizontal="center" vertical="center"/>
    </xf>
    <xf numFmtId="166" fontId="8" fillId="3" borderId="0" xfId="0" applyNumberFormat="1" applyFont="1" applyFill="1" applyBorder="1" applyAlignment="1">
      <alignment horizontal="center" vertical="center"/>
    </xf>
    <xf numFmtId="10" fontId="9" fillId="3" borderId="1" xfId="1" applyNumberFormat="1" applyFont="1" applyFill="1" applyBorder="1"/>
    <xf numFmtId="10" fontId="9" fillId="3" borderId="27" xfId="1" applyNumberFormat="1" applyFont="1" applyFill="1" applyBorder="1"/>
    <xf numFmtId="166" fontId="8" fillId="3" borderId="16" xfId="1" applyNumberFormat="1" applyFont="1" applyFill="1" applyBorder="1" applyAlignment="1">
      <alignment wrapText="1"/>
    </xf>
    <xf numFmtId="0" fontId="8" fillId="3" borderId="33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8" fillId="3" borderId="32" xfId="0" applyFont="1" applyFill="1" applyBorder="1" applyAlignment="1">
      <alignment horizontal="left"/>
    </xf>
    <xf numFmtId="10" fontId="9" fillId="3" borderId="25" xfId="1" applyNumberFormat="1" applyFont="1" applyFill="1" applyBorder="1"/>
    <xf numFmtId="10" fontId="8" fillId="3" borderId="27" xfId="1" applyNumberFormat="1" applyFont="1" applyFill="1" applyBorder="1"/>
    <xf numFmtId="0" fontId="27" fillId="0" borderId="0" xfId="0" applyFont="1"/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31" fillId="0" borderId="27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/>
    </xf>
    <xf numFmtId="0" fontId="31" fillId="4" borderId="27" xfId="0" applyFont="1" applyFill="1" applyBorder="1" applyAlignment="1">
      <alignment horizontal="center"/>
    </xf>
    <xf numFmtId="0" fontId="32" fillId="0" borderId="27" xfId="0" applyFont="1" applyBorder="1" applyAlignment="1">
      <alignment horizontal="left" vertical="center" wrapText="1"/>
    </xf>
    <xf numFmtId="0" fontId="31" fillId="0" borderId="27" xfId="0" applyFont="1" applyBorder="1"/>
    <xf numFmtId="0" fontId="31" fillId="0" borderId="27" xfId="0" applyFont="1" applyBorder="1" applyAlignment="1">
      <alignment horizontal="left" vertical="center"/>
    </xf>
    <xf numFmtId="0" fontId="32" fillId="0" borderId="27" xfId="0" applyFont="1" applyBorder="1" applyAlignment="1">
      <alignment horizontal="center" vertical="center"/>
    </xf>
    <xf numFmtId="0" fontId="32" fillId="0" borderId="27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 wrapText="1"/>
    </xf>
    <xf numFmtId="0" fontId="31" fillId="0" borderId="0" xfId="0" applyFont="1" applyAlignment="1">
      <alignment vertical="center"/>
    </xf>
    <xf numFmtId="0" fontId="31" fillId="0" borderId="27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41" fontId="31" fillId="0" borderId="0" xfId="2" applyFont="1" applyAlignment="1">
      <alignment vertical="center"/>
    </xf>
    <xf numFmtId="41" fontId="31" fillId="0" borderId="27" xfId="2" applyFont="1" applyBorder="1" applyAlignment="1">
      <alignment horizontal="center" vertical="center" wrapText="1"/>
    </xf>
    <xf numFmtId="41" fontId="27" fillId="0" borderId="0" xfId="2" applyFont="1" applyAlignment="1">
      <alignment vertical="center"/>
    </xf>
    <xf numFmtId="41" fontId="0" fillId="0" borderId="0" xfId="2" applyFont="1" applyAlignment="1">
      <alignment vertical="center"/>
    </xf>
    <xf numFmtId="42" fontId="31" fillId="0" borderId="27" xfId="2" applyNumberFormat="1" applyFont="1" applyBorder="1" applyAlignment="1">
      <alignment horizontal="center" vertical="center"/>
    </xf>
    <xf numFmtId="42" fontId="31" fillId="0" borderId="27" xfId="2" applyNumberFormat="1" applyFont="1" applyBorder="1" applyAlignment="1">
      <alignment vertical="center"/>
    </xf>
    <xf numFmtId="42" fontId="32" fillId="0" borderId="27" xfId="2" applyNumberFormat="1" applyFont="1" applyBorder="1" applyAlignment="1">
      <alignment vertical="center"/>
    </xf>
    <xf numFmtId="42" fontId="32" fillId="0" borderId="27" xfId="2" applyNumberFormat="1" applyFont="1" applyBorder="1" applyAlignment="1">
      <alignment vertical="center" wrapText="1"/>
    </xf>
    <xf numFmtId="42" fontId="32" fillId="0" borderId="27" xfId="2" applyNumberFormat="1" applyFont="1" applyBorder="1" applyAlignment="1">
      <alignment horizontal="center" vertical="center"/>
    </xf>
    <xf numFmtId="0" fontId="33" fillId="0" borderId="0" xfId="0" applyFont="1"/>
    <xf numFmtId="0" fontId="28" fillId="0" borderId="0" xfId="0" applyFont="1" applyAlignment="1">
      <alignment vertical="center"/>
    </xf>
    <xf numFmtId="0" fontId="7" fillId="0" borderId="60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7" fillId="0" borderId="62" xfId="0" applyFont="1" applyBorder="1" applyAlignment="1">
      <alignment vertical="center"/>
    </xf>
    <xf numFmtId="0" fontId="38" fillId="0" borderId="0" xfId="0" applyFont="1"/>
    <xf numFmtId="0" fontId="37" fillId="0" borderId="0" xfId="0" applyFont="1"/>
    <xf numFmtId="0" fontId="39" fillId="0" borderId="27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vertical="center"/>
    </xf>
    <xf numFmtId="0" fontId="36" fillId="0" borderId="61" xfId="0" applyFont="1" applyBorder="1" applyAlignment="1">
      <alignment vertical="center"/>
    </xf>
    <xf numFmtId="0" fontId="36" fillId="0" borderId="27" xfId="0" applyFont="1" applyBorder="1" applyAlignment="1">
      <alignment horizontal="center" vertical="center"/>
    </xf>
    <xf numFmtId="0" fontId="36" fillId="0" borderId="27" xfId="0" applyFont="1" applyBorder="1" applyAlignment="1">
      <alignment vertical="center"/>
    </xf>
    <xf numFmtId="0" fontId="36" fillId="0" borderId="58" xfId="0" applyFont="1" applyBorder="1" applyAlignment="1">
      <alignment vertical="center"/>
    </xf>
    <xf numFmtId="0" fontId="36" fillId="0" borderId="45" xfId="0" applyFont="1" applyBorder="1" applyAlignment="1">
      <alignment horizontal="center" vertical="center"/>
    </xf>
    <xf numFmtId="0" fontId="36" fillId="0" borderId="45" xfId="0" applyFont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38" fillId="0" borderId="0" xfId="0" applyFont="1" applyAlignment="1">
      <alignment horizontal="center"/>
    </xf>
    <xf numFmtId="41" fontId="8" fillId="3" borderId="5" xfId="1" applyNumberFormat="1" applyFont="1" applyFill="1" applyBorder="1" applyAlignment="1">
      <alignment horizontal="center" vertical="center"/>
    </xf>
    <xf numFmtId="41" fontId="8" fillId="3" borderId="27" xfId="1" applyNumberFormat="1" applyFont="1" applyFill="1" applyBorder="1" applyAlignment="1">
      <alignment horizontal="center" vertical="center"/>
    </xf>
    <xf numFmtId="41" fontId="8" fillId="3" borderId="45" xfId="1" applyNumberFormat="1" applyFont="1" applyFill="1" applyBorder="1" applyAlignment="1">
      <alignment horizontal="center" vertical="center"/>
    </xf>
    <xf numFmtId="9" fontId="9" fillId="3" borderId="19" xfId="1" applyNumberFormat="1" applyFont="1" applyFill="1" applyBorder="1"/>
    <xf numFmtId="9" fontId="8" fillId="3" borderId="5" xfId="1" applyNumberFormat="1" applyFont="1" applyFill="1" applyBorder="1" applyAlignment="1">
      <alignment horizontal="center" vertical="center"/>
    </xf>
    <xf numFmtId="167" fontId="8" fillId="3" borderId="5" xfId="1" applyNumberFormat="1" applyFont="1" applyFill="1" applyBorder="1" applyAlignment="1">
      <alignment horizontal="center" vertical="center"/>
    </xf>
    <xf numFmtId="10" fontId="8" fillId="3" borderId="5" xfId="1" applyNumberFormat="1" applyFont="1" applyFill="1" applyBorder="1" applyAlignment="1">
      <alignment horizontal="center" vertical="center"/>
    </xf>
    <xf numFmtId="2" fontId="8" fillId="3" borderId="5" xfId="1" applyNumberFormat="1" applyFont="1" applyFill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37" fillId="0" borderId="0" xfId="0" applyFont="1" applyAlignment="1"/>
    <xf numFmtId="0" fontId="29" fillId="0" borderId="58" xfId="0" applyFont="1" applyBorder="1" applyAlignment="1">
      <alignment horizontal="center" vertical="center"/>
    </xf>
    <xf numFmtId="41" fontId="8" fillId="3" borderId="61" xfId="1" applyNumberFormat="1" applyFont="1" applyFill="1" applyBorder="1" applyAlignment="1">
      <alignment horizontal="center" vertical="center"/>
    </xf>
    <xf numFmtId="41" fontId="8" fillId="3" borderId="70" xfId="1" applyNumberFormat="1" applyFont="1" applyFill="1" applyBorder="1" applyAlignment="1">
      <alignment horizontal="center" vertical="center"/>
    </xf>
    <xf numFmtId="41" fontId="8" fillId="3" borderId="71" xfId="1" applyNumberFormat="1" applyFont="1" applyFill="1" applyBorder="1" applyAlignment="1">
      <alignment horizontal="center" vertical="center"/>
    </xf>
    <xf numFmtId="0" fontId="29" fillId="0" borderId="60" xfId="0" applyFont="1" applyBorder="1" applyAlignment="1">
      <alignment vertical="center"/>
    </xf>
    <xf numFmtId="0" fontId="29" fillId="0" borderId="57" xfId="0" applyFont="1" applyBorder="1" applyAlignment="1">
      <alignment vertical="center"/>
    </xf>
    <xf numFmtId="0" fontId="29" fillId="0" borderId="59" xfId="0" applyFont="1" applyBorder="1" applyAlignment="1">
      <alignment vertical="center"/>
    </xf>
    <xf numFmtId="0" fontId="29" fillId="0" borderId="69" xfId="0" applyFont="1" applyBorder="1" applyAlignment="1">
      <alignment vertical="center"/>
    </xf>
    <xf numFmtId="10" fontId="8" fillId="3" borderId="55" xfId="1" applyNumberFormat="1" applyFont="1" applyFill="1" applyBorder="1" applyAlignment="1">
      <alignment horizontal="center"/>
    </xf>
    <xf numFmtId="9" fontId="36" fillId="0" borderId="5" xfId="0" applyNumberFormat="1" applyFont="1" applyBorder="1" applyAlignment="1">
      <alignment horizontal="center" vertical="center"/>
    </xf>
    <xf numFmtId="9" fontId="36" fillId="0" borderId="45" xfId="0" applyNumberFormat="1" applyFont="1" applyBorder="1" applyAlignment="1">
      <alignment horizontal="center" vertical="center"/>
    </xf>
    <xf numFmtId="1" fontId="36" fillId="0" borderId="5" xfId="0" applyNumberFormat="1" applyFont="1" applyBorder="1" applyAlignment="1">
      <alignment horizontal="center" vertical="center"/>
    </xf>
    <xf numFmtId="1" fontId="36" fillId="0" borderId="45" xfId="0" applyNumberFormat="1" applyFont="1" applyBorder="1" applyAlignment="1">
      <alignment horizontal="center" vertical="center"/>
    </xf>
    <xf numFmtId="167" fontId="8" fillId="3" borderId="5" xfId="0" applyNumberFormat="1" applyFont="1" applyFill="1" applyBorder="1" applyAlignment="1">
      <alignment horizontal="center" vertical="center"/>
    </xf>
    <xf numFmtId="167" fontId="8" fillId="3" borderId="44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1" fontId="8" fillId="3" borderId="0" xfId="1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1" fontId="36" fillId="0" borderId="0" xfId="0" applyNumberFormat="1" applyFont="1" applyBorder="1" applyAlignment="1">
      <alignment horizontal="center" vertical="center"/>
    </xf>
    <xf numFmtId="9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41" fillId="0" borderId="0" xfId="0" applyFont="1" applyFill="1"/>
    <xf numFmtId="4" fontId="41" fillId="3" borderId="0" xfId="0" applyNumberFormat="1" applyFont="1" applyFill="1"/>
    <xf numFmtId="0" fontId="41" fillId="0" borderId="27" xfId="0" applyFont="1" applyFill="1" applyBorder="1"/>
    <xf numFmtId="0" fontId="42" fillId="0" borderId="27" xfId="0" applyFont="1" applyFill="1" applyBorder="1" applyAlignment="1">
      <alignment vertical="center" wrapText="1"/>
    </xf>
    <xf numFmtId="0" fontId="42" fillId="0" borderId="29" xfId="0" applyFont="1" applyFill="1" applyBorder="1" applyAlignment="1">
      <alignment horizontal="center" vertical="center" wrapText="1"/>
    </xf>
    <xf numFmtId="0" fontId="42" fillId="0" borderId="27" xfId="0" applyFont="1" applyFill="1" applyBorder="1" applyAlignment="1">
      <alignment horizontal="center" vertical="center" wrapText="1"/>
    </xf>
    <xf numFmtId="4" fontId="42" fillId="3" borderId="27" xfId="0" applyNumberFormat="1" applyFont="1" applyFill="1" applyBorder="1" applyAlignment="1">
      <alignment horizontal="center" vertical="center" wrapText="1"/>
    </xf>
    <xf numFmtId="0" fontId="41" fillId="0" borderId="28" xfId="0" applyFont="1" applyFill="1" applyBorder="1" applyAlignment="1">
      <alignment horizontal="center"/>
    </xf>
    <xf numFmtId="0" fontId="41" fillId="0" borderId="27" xfId="0" applyFont="1" applyFill="1" applyBorder="1" applyAlignment="1">
      <alignment horizontal="center"/>
    </xf>
    <xf numFmtId="0" fontId="41" fillId="0" borderId="27" xfId="0" applyFont="1" applyFill="1" applyBorder="1" applyAlignment="1">
      <alignment horizontal="center" wrapText="1"/>
    </xf>
    <xf numFmtId="3" fontId="41" fillId="3" borderId="27" xfId="0" applyNumberFormat="1" applyFont="1" applyFill="1" applyBorder="1" applyAlignment="1">
      <alignment horizontal="center" wrapText="1"/>
    </xf>
    <xf numFmtId="0" fontId="42" fillId="0" borderId="27" xfId="0" applyFont="1" applyFill="1" applyBorder="1" applyAlignment="1">
      <alignment vertical="center"/>
    </xf>
    <xf numFmtId="4" fontId="41" fillId="3" borderId="27" xfId="0" applyNumberFormat="1" applyFont="1" applyFill="1" applyBorder="1"/>
    <xf numFmtId="0" fontId="41" fillId="0" borderId="6" xfId="0" applyFont="1" applyFill="1" applyBorder="1" applyAlignment="1">
      <alignment vertical="top"/>
    </xf>
    <xf numFmtId="0" fontId="42" fillId="0" borderId="27" xfId="0" applyFont="1" applyFill="1" applyBorder="1" applyAlignment="1">
      <alignment vertical="top" wrapText="1"/>
    </xf>
    <xf numFmtId="4" fontId="42" fillId="3" borderId="27" xfId="0" applyNumberFormat="1" applyFont="1" applyFill="1" applyBorder="1" applyAlignment="1">
      <alignment horizontal="center" vertical="top"/>
    </xf>
    <xf numFmtId="0" fontId="41" fillId="0" borderId="1" xfId="0" applyFont="1" applyFill="1" applyBorder="1" applyAlignment="1">
      <alignment vertical="top"/>
    </xf>
    <xf numFmtId="0" fontId="41" fillId="0" borderId="27" xfId="0" applyFont="1" applyFill="1" applyBorder="1" applyAlignment="1">
      <alignment vertical="top" wrapText="1"/>
    </xf>
    <xf numFmtId="4" fontId="41" fillId="3" borderId="27" xfId="1" applyNumberFormat="1" applyFont="1" applyFill="1" applyBorder="1" applyAlignment="1">
      <alignment horizontal="center" vertical="top"/>
    </xf>
    <xf numFmtId="0" fontId="41" fillId="0" borderId="5" xfId="0" applyFont="1" applyFill="1" applyBorder="1" applyAlignment="1">
      <alignment vertical="top"/>
    </xf>
    <xf numFmtId="4" fontId="42" fillId="3" borderId="27" xfId="1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vertical="top" wrapText="1"/>
    </xf>
    <xf numFmtId="4" fontId="41" fillId="3" borderId="5" xfId="1" applyNumberFormat="1" applyFont="1" applyFill="1" applyBorder="1" applyAlignment="1">
      <alignment horizontal="center" vertical="top"/>
    </xf>
    <xf numFmtId="0" fontId="43" fillId="0" borderId="1" xfId="0" applyFont="1" applyFill="1" applyBorder="1" applyAlignment="1">
      <alignment horizontal="left" vertical="top" wrapText="1"/>
    </xf>
    <xf numFmtId="0" fontId="43" fillId="0" borderId="5" xfId="0" applyFont="1" applyFill="1" applyBorder="1" applyAlignment="1">
      <alignment horizontal="left" vertical="top" wrapText="1"/>
    </xf>
    <xf numFmtId="0" fontId="43" fillId="0" borderId="27" xfId="0" applyFont="1" applyFill="1" applyBorder="1" applyAlignment="1">
      <alignment vertical="top" wrapText="1"/>
    </xf>
    <xf numFmtId="4" fontId="41" fillId="3" borderId="27" xfId="1" applyNumberFormat="1" applyFont="1" applyFill="1" applyBorder="1" applyAlignment="1">
      <alignment horizontal="center" vertical="center"/>
    </xf>
    <xf numFmtId="0" fontId="41" fillId="0" borderId="27" xfId="0" applyFont="1" applyFill="1" applyBorder="1" applyAlignment="1">
      <alignment vertical="top"/>
    </xf>
    <xf numFmtId="0" fontId="43" fillId="0" borderId="27" xfId="0" applyFont="1" applyFill="1" applyBorder="1" applyAlignment="1">
      <alignment horizontal="left" vertical="top" wrapText="1"/>
    </xf>
    <xf numFmtId="0" fontId="42" fillId="0" borderId="1" xfId="0" applyFont="1" applyFill="1" applyBorder="1" applyAlignment="1">
      <alignment horizontal="left" vertical="top" wrapText="1"/>
    </xf>
    <xf numFmtId="0" fontId="42" fillId="0" borderId="5" xfId="0" applyFont="1" applyFill="1" applyBorder="1" applyAlignment="1">
      <alignment horizontal="left" vertical="top" wrapText="1"/>
    </xf>
    <xf numFmtId="0" fontId="41" fillId="0" borderId="5" xfId="0" applyFont="1" applyFill="1" applyBorder="1"/>
    <xf numFmtId="0" fontId="42" fillId="0" borderId="27" xfId="0" applyFont="1" applyFill="1" applyBorder="1" applyAlignment="1">
      <alignment horizontal="left" vertical="center"/>
    </xf>
    <xf numFmtId="0" fontId="41" fillId="0" borderId="27" xfId="0" applyFont="1" applyFill="1" applyBorder="1" applyAlignment="1">
      <alignment vertical="center"/>
    </xf>
    <xf numFmtId="4" fontId="41" fillId="3" borderId="27" xfId="1" applyNumberFormat="1" applyFont="1" applyFill="1" applyBorder="1"/>
    <xf numFmtId="0" fontId="41" fillId="0" borderId="6" xfId="0" applyFont="1" applyFill="1" applyBorder="1"/>
    <xf numFmtId="4" fontId="42" fillId="3" borderId="27" xfId="1" applyNumberFormat="1" applyFont="1" applyFill="1" applyBorder="1" applyAlignment="1">
      <alignment horizontal="center" vertical="top"/>
    </xf>
    <xf numFmtId="0" fontId="41" fillId="0" borderId="1" xfId="0" applyFont="1" applyFill="1" applyBorder="1"/>
    <xf numFmtId="0" fontId="44" fillId="0" borderId="27" xfId="0" applyFont="1" applyFill="1" applyBorder="1" applyAlignment="1">
      <alignment horizontal="left" vertical="top" wrapText="1"/>
    </xf>
    <xf numFmtId="0" fontId="41" fillId="0" borderId="1" xfId="0" applyFont="1" applyFill="1" applyBorder="1" applyAlignment="1">
      <alignment horizontal="left" vertical="top" wrapText="1"/>
    </xf>
    <xf numFmtId="0" fontId="41" fillId="0" borderId="5" xfId="0" applyFont="1" applyFill="1" applyBorder="1" applyAlignment="1">
      <alignment horizontal="left" vertical="top" wrapText="1"/>
    </xf>
    <xf numFmtId="0" fontId="42" fillId="0" borderId="5" xfId="0" applyFont="1" applyFill="1" applyBorder="1" applyAlignment="1">
      <alignment horizontal="left" vertical="center"/>
    </xf>
    <xf numFmtId="0" fontId="41" fillId="0" borderId="5" xfId="0" applyFont="1" applyFill="1" applyBorder="1" applyAlignment="1">
      <alignment vertical="center"/>
    </xf>
    <xf numFmtId="4" fontId="41" fillId="3" borderId="5" xfId="1" applyNumberFormat="1" applyFont="1" applyFill="1" applyBorder="1"/>
    <xf numFmtId="0" fontId="45" fillId="0" borderId="0" xfId="0" applyFont="1" applyFill="1" applyAlignment="1">
      <alignment vertical="top"/>
    </xf>
    <xf numFmtId="0" fontId="46" fillId="0" borderId="27" xfId="0" applyFont="1" applyFill="1" applyBorder="1" applyAlignment="1">
      <alignment vertical="top" wrapText="1"/>
    </xf>
    <xf numFmtId="0" fontId="44" fillId="0" borderId="6" xfId="0" applyFont="1" applyFill="1" applyBorder="1" applyAlignment="1">
      <alignment vertical="top" wrapText="1"/>
    </xf>
    <xf numFmtId="4" fontId="41" fillId="3" borderId="27" xfId="1" applyNumberFormat="1" applyFont="1" applyFill="1" applyBorder="1" applyAlignment="1">
      <alignment horizontal="center" vertical="center" wrapText="1"/>
    </xf>
    <xf numFmtId="0" fontId="46" fillId="0" borderId="27" xfId="0" applyFont="1" applyFill="1" applyBorder="1" applyAlignment="1">
      <alignment horizontal="left" vertical="top" wrapText="1"/>
    </xf>
    <xf numFmtId="4" fontId="42" fillId="3" borderId="27" xfId="1" applyNumberFormat="1" applyFont="1" applyFill="1" applyBorder="1" applyAlignment="1">
      <alignment horizontal="center" vertical="top" wrapText="1"/>
    </xf>
    <xf numFmtId="0" fontId="42" fillId="0" borderId="5" xfId="0" applyFont="1" applyFill="1" applyBorder="1" applyAlignment="1">
      <alignment vertical="top" wrapText="1"/>
    </xf>
    <xf numFmtId="4" fontId="42" fillId="3" borderId="5" xfId="1" applyNumberFormat="1" applyFont="1" applyFill="1" applyBorder="1" applyAlignment="1">
      <alignment horizontal="center" vertical="center" wrapText="1"/>
    </xf>
    <xf numFmtId="4" fontId="41" fillId="3" borderId="5" xfId="1" applyNumberFormat="1" applyFont="1" applyFill="1" applyBorder="1" applyAlignment="1">
      <alignment horizontal="center" vertical="center" wrapText="1"/>
    </xf>
    <xf numFmtId="0" fontId="41" fillId="0" borderId="27" xfId="0" applyFont="1" applyFill="1" applyBorder="1" applyAlignment="1">
      <alignment vertical="center" wrapText="1"/>
    </xf>
    <xf numFmtId="4" fontId="41" fillId="3" borderId="27" xfId="1" applyNumberFormat="1" applyFont="1" applyFill="1" applyBorder="1" applyAlignment="1">
      <alignment wrapText="1"/>
    </xf>
    <xf numFmtId="4" fontId="42" fillId="3" borderId="27" xfId="1" applyNumberFormat="1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vertical="top" wrapText="1"/>
    </xf>
    <xf numFmtId="0" fontId="42" fillId="0" borderId="27" xfId="0" applyFont="1" applyFill="1" applyBorder="1" applyAlignment="1">
      <alignment horizontal="left" vertical="top" wrapText="1"/>
    </xf>
    <xf numFmtId="0" fontId="41" fillId="0" borderId="27" xfId="0" applyFont="1" applyFill="1" applyBorder="1" applyAlignment="1">
      <alignment horizontal="left" vertical="top" wrapText="1"/>
    </xf>
    <xf numFmtId="4" fontId="41" fillId="3" borderId="27" xfId="1" applyNumberFormat="1" applyFont="1" applyFill="1" applyBorder="1" applyAlignment="1">
      <alignment horizontal="center" vertical="top" wrapText="1"/>
    </xf>
    <xf numFmtId="4" fontId="41" fillId="3" borderId="27" xfId="1" applyNumberFormat="1" applyFont="1" applyFill="1" applyBorder="1" applyAlignment="1">
      <alignment vertical="center"/>
    </xf>
    <xf numFmtId="0" fontId="47" fillId="0" borderId="27" xfId="0" applyFont="1" applyFill="1" applyBorder="1" applyAlignment="1">
      <alignment vertical="top" wrapText="1"/>
    </xf>
    <xf numFmtId="4" fontId="47" fillId="3" borderId="27" xfId="1" applyNumberFormat="1" applyFont="1" applyFill="1" applyBorder="1" applyAlignment="1">
      <alignment horizontal="center" vertical="center"/>
    </xf>
    <xf numFmtId="4" fontId="43" fillId="3" borderId="27" xfId="1" applyNumberFormat="1" applyFont="1" applyFill="1" applyBorder="1" applyAlignment="1">
      <alignment horizontal="center" vertical="center"/>
    </xf>
    <xf numFmtId="0" fontId="42" fillId="3" borderId="27" xfId="0" applyFont="1" applyFill="1" applyBorder="1" applyAlignment="1">
      <alignment vertical="top" wrapText="1"/>
    </xf>
    <xf numFmtId="4" fontId="42" fillId="3" borderId="5" xfId="1" applyNumberFormat="1" applyFont="1" applyFill="1" applyBorder="1" applyAlignment="1">
      <alignment horizontal="center" vertical="top"/>
    </xf>
    <xf numFmtId="4" fontId="41" fillId="3" borderId="5" xfId="1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vertical="top" wrapText="1"/>
    </xf>
    <xf numFmtId="4" fontId="43" fillId="3" borderId="27" xfId="1" applyNumberFormat="1" applyFont="1" applyFill="1" applyBorder="1" applyAlignment="1">
      <alignment horizontal="center" vertical="top"/>
    </xf>
    <xf numFmtId="4" fontId="43" fillId="3" borderId="27" xfId="1" applyNumberFormat="1" applyFont="1" applyFill="1" applyBorder="1" applyAlignment="1">
      <alignment horizontal="center" vertical="center" wrapText="1"/>
    </xf>
    <xf numFmtId="4" fontId="47" fillId="3" borderId="27" xfId="1" applyNumberFormat="1" applyFont="1" applyFill="1" applyBorder="1" applyAlignment="1">
      <alignment horizontal="center" vertical="center" wrapText="1"/>
    </xf>
    <xf numFmtId="41" fontId="41" fillId="0" borderId="0" xfId="2" applyFont="1" applyFill="1"/>
    <xf numFmtId="41" fontId="41" fillId="0" borderId="0" xfId="0" applyNumberFormat="1" applyFont="1" applyFill="1"/>
    <xf numFmtId="3" fontId="48" fillId="0" borderId="0" xfId="0" applyNumberFormat="1" applyFont="1"/>
    <xf numFmtId="3" fontId="41" fillId="0" borderId="0" xfId="0" applyNumberFormat="1" applyFont="1" applyFill="1"/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8" fillId="0" borderId="0" xfId="0" applyFont="1"/>
    <xf numFmtId="0" fontId="8" fillId="3" borderId="33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8" fillId="3" borderId="32" xfId="0" applyFont="1" applyFill="1" applyBorder="1" applyAlignment="1">
      <alignment horizontal="left"/>
    </xf>
    <xf numFmtId="0" fontId="36" fillId="0" borderId="5" xfId="0" applyFont="1" applyBorder="1" applyAlignment="1">
      <alignment horizontal="right" vertical="center"/>
    </xf>
    <xf numFmtId="0" fontId="36" fillId="0" borderId="27" xfId="0" applyFont="1" applyBorder="1" applyAlignment="1">
      <alignment horizontal="right" vertical="center"/>
    </xf>
    <xf numFmtId="0" fontId="36" fillId="0" borderId="45" xfId="0" applyFont="1" applyBorder="1" applyAlignment="1">
      <alignment horizontal="right" vertical="center"/>
    </xf>
    <xf numFmtId="0" fontId="8" fillId="3" borderId="33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8" fillId="3" borderId="32" xfId="0" applyFont="1" applyFill="1" applyBorder="1" applyAlignment="1">
      <alignment horizontal="left"/>
    </xf>
    <xf numFmtId="166" fontId="11" fillId="3" borderId="19" xfId="1" applyNumberFormat="1" applyFont="1" applyFill="1" applyBorder="1"/>
    <xf numFmtId="166" fontId="0" fillId="3" borderId="0" xfId="0" applyNumberFormat="1" applyFill="1"/>
    <xf numFmtId="166" fontId="51" fillId="3" borderId="0" xfId="1" applyNumberFormat="1" applyFont="1" applyFill="1"/>
    <xf numFmtId="167" fontId="9" fillId="3" borderId="25" xfId="1" applyNumberFormat="1" applyFont="1" applyFill="1" applyBorder="1"/>
    <xf numFmtId="166" fontId="8" fillId="3" borderId="0" xfId="1" applyNumberFormat="1" applyFont="1" applyFill="1" applyBorder="1" applyAlignment="1">
      <alignment horizontal="center" vertical="center"/>
    </xf>
    <xf numFmtId="166" fontId="8" fillId="3" borderId="19" xfId="1" applyNumberFormat="1" applyFont="1" applyFill="1" applyBorder="1" applyAlignment="1">
      <alignment horizontal="center"/>
    </xf>
    <xf numFmtId="167" fontId="8" fillId="3" borderId="19" xfId="1" applyNumberFormat="1" applyFont="1" applyFill="1" applyBorder="1"/>
    <xf numFmtId="41" fontId="8" fillId="3" borderId="26" xfId="1" applyNumberFormat="1" applyFont="1" applyFill="1" applyBorder="1" applyAlignment="1">
      <alignment horizontal="center"/>
    </xf>
    <xf numFmtId="166" fontId="8" fillId="3" borderId="5" xfId="1" applyNumberFormat="1" applyFont="1" applyFill="1" applyBorder="1" applyAlignment="1">
      <alignment horizontal="center"/>
    </xf>
    <xf numFmtId="167" fontId="8" fillId="3" borderId="19" xfId="0" applyNumberFormat="1" applyFont="1" applyFill="1" applyBorder="1"/>
    <xf numFmtId="167" fontId="8" fillId="3" borderId="26" xfId="0" applyNumberFormat="1" applyFont="1" applyFill="1" applyBorder="1"/>
    <xf numFmtId="167" fontId="8" fillId="3" borderId="26" xfId="1" applyNumberFormat="1" applyFont="1" applyFill="1" applyBorder="1"/>
    <xf numFmtId="166" fontId="8" fillId="3" borderId="26" xfId="1" applyNumberFormat="1" applyFont="1" applyFill="1" applyBorder="1" applyAlignment="1">
      <alignment horizontal="center" wrapText="1"/>
    </xf>
    <xf numFmtId="2" fontId="36" fillId="0" borderId="5" xfId="0" applyNumberFormat="1" applyFont="1" applyBorder="1" applyAlignment="1">
      <alignment horizontal="center" vertical="center"/>
    </xf>
    <xf numFmtId="2" fontId="36" fillId="0" borderId="27" xfId="0" applyNumberFormat="1" applyFont="1" applyBorder="1" applyAlignment="1">
      <alignment horizontal="center" vertical="center"/>
    </xf>
    <xf numFmtId="0" fontId="8" fillId="3" borderId="33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8" fillId="3" borderId="32" xfId="0" applyFont="1" applyFill="1" applyBorder="1" applyAlignment="1">
      <alignment horizontal="left"/>
    </xf>
    <xf numFmtId="0" fontId="0" fillId="0" borderId="27" xfId="0" applyBorder="1" applyAlignment="1">
      <alignment horizontal="center" vertical="center"/>
    </xf>
    <xf numFmtId="43" fontId="0" fillId="0" borderId="0" xfId="1" applyFont="1"/>
    <xf numFmtId="43" fontId="0" fillId="0" borderId="0" xfId="1" applyFont="1" applyAlignment="1">
      <alignment horizontal="center" vertical="center"/>
    </xf>
    <xf numFmtId="43" fontId="0" fillId="0" borderId="27" xfId="1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23" fillId="0" borderId="0" xfId="0" applyFont="1"/>
    <xf numFmtId="0" fontId="36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36" fillId="3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168" fontId="11" fillId="0" borderId="0" xfId="1" applyNumberFormat="1" applyFont="1" applyAlignment="1">
      <alignment horizontal="center"/>
    </xf>
    <xf numFmtId="168" fontId="11" fillId="0" borderId="0" xfId="1" applyNumberFormat="1" applyFont="1"/>
    <xf numFmtId="0" fontId="29" fillId="3" borderId="73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top" wrapText="1"/>
    </xf>
    <xf numFmtId="0" fontId="23" fillId="0" borderId="0" xfId="0" applyFont="1" applyAlignment="1">
      <alignment vertical="top"/>
    </xf>
    <xf numFmtId="0" fontId="7" fillId="3" borderId="8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9" fontId="7" fillId="3" borderId="10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168" fontId="7" fillId="3" borderId="10" xfId="1" applyNumberFormat="1" applyFont="1" applyFill="1" applyBorder="1" applyAlignment="1">
      <alignment horizontal="center" vertical="center"/>
    </xf>
    <xf numFmtId="9" fontId="7" fillId="3" borderId="1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2" fillId="6" borderId="87" xfId="0" applyFont="1" applyFill="1" applyBorder="1" applyAlignment="1">
      <alignment horizontal="center" vertical="center" wrapText="1"/>
    </xf>
    <xf numFmtId="0" fontId="12" fillId="6" borderId="77" xfId="0" applyFont="1" applyFill="1" applyBorder="1" applyAlignment="1">
      <alignment horizontal="center" vertical="center" wrapText="1"/>
    </xf>
    <xf numFmtId="0" fontId="12" fillId="6" borderId="77" xfId="0" applyFont="1" applyFill="1" applyBorder="1" applyAlignment="1">
      <alignment horizontal="center"/>
    </xf>
    <xf numFmtId="168" fontId="12" fillId="6" borderId="69" xfId="1" applyNumberFormat="1" applyFont="1" applyFill="1" applyBorder="1" applyAlignment="1">
      <alignment vertical="center"/>
    </xf>
    <xf numFmtId="168" fontId="12" fillId="6" borderId="88" xfId="1" applyNumberFormat="1" applyFont="1" applyFill="1" applyBorder="1" applyAlignment="1">
      <alignment horizontal="center"/>
    </xf>
    <xf numFmtId="168" fontId="12" fillId="6" borderId="88" xfId="1" applyNumberFormat="1" applyFont="1" applyFill="1" applyBorder="1" applyAlignment="1"/>
    <xf numFmtId="0" fontId="12" fillId="6" borderId="88" xfId="0" applyFont="1" applyFill="1" applyBorder="1" applyAlignment="1">
      <alignment horizontal="center"/>
    </xf>
    <xf numFmtId="168" fontId="12" fillId="6" borderId="70" xfId="1" applyNumberFormat="1" applyFont="1" applyFill="1" applyBorder="1" applyAlignment="1">
      <alignment horizontal="center"/>
    </xf>
    <xf numFmtId="0" fontId="12" fillId="6" borderId="84" xfId="0" applyFont="1" applyFill="1" applyBorder="1" applyAlignment="1">
      <alignment horizontal="center"/>
    </xf>
    <xf numFmtId="168" fontId="12" fillId="6" borderId="87" xfId="1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53" fillId="7" borderId="60" xfId="0" applyFont="1" applyFill="1" applyBorder="1" applyAlignment="1">
      <alignment horizontal="center" vertical="center"/>
    </xf>
    <xf numFmtId="0" fontId="53" fillId="7" borderId="89" xfId="0" applyFont="1" applyFill="1" applyBorder="1" applyAlignment="1">
      <alignment horizontal="left" vertical="center"/>
    </xf>
    <xf numFmtId="0" fontId="54" fillId="7" borderId="57" xfId="0" applyFont="1" applyFill="1" applyBorder="1" applyAlignment="1">
      <alignment horizontal="left" vertical="center" wrapText="1"/>
    </xf>
    <xf numFmtId="41" fontId="11" fillId="0" borderId="28" xfId="2" applyNumberFormat="1" applyFont="1" applyBorder="1" applyAlignment="1">
      <alignment horizontal="center" vertical="center"/>
    </xf>
    <xf numFmtId="164" fontId="11" fillId="0" borderId="5" xfId="2" applyNumberFormat="1" applyFont="1" applyBorder="1" applyAlignment="1">
      <alignment horizontal="center" vertical="center"/>
    </xf>
    <xf numFmtId="37" fontId="55" fillId="3" borderId="27" xfId="0" applyNumberFormat="1" applyFont="1" applyFill="1" applyBorder="1" applyAlignment="1">
      <alignment horizontal="right" vertical="center"/>
    </xf>
    <xf numFmtId="164" fontId="11" fillId="0" borderId="4" xfId="2" applyNumberFormat="1" applyFont="1" applyBorder="1" applyAlignment="1">
      <alignment vertical="center"/>
    </xf>
    <xf numFmtId="2" fontId="11" fillId="0" borderId="4" xfId="3" applyNumberFormat="1" applyFont="1" applyBorder="1" applyAlignment="1">
      <alignment vertical="center"/>
    </xf>
    <xf numFmtId="41" fontId="11" fillId="0" borderId="4" xfId="2" applyNumberFormat="1" applyFont="1" applyBorder="1" applyAlignment="1">
      <alignment vertical="center"/>
    </xf>
    <xf numFmtId="2" fontId="11" fillId="0" borderId="61" xfId="3" applyNumberFormat="1" applyFont="1" applyBorder="1" applyAlignment="1">
      <alignment vertical="center"/>
    </xf>
    <xf numFmtId="0" fontId="53" fillId="7" borderId="57" xfId="0" applyFont="1" applyFill="1" applyBorder="1" applyAlignment="1">
      <alignment horizontal="center" vertical="center"/>
    </xf>
    <xf numFmtId="41" fontId="11" fillId="0" borderId="4" xfId="2" applyNumberFormat="1" applyFont="1" applyBorder="1" applyAlignment="1">
      <alignment horizontal="center" vertical="center"/>
    </xf>
    <xf numFmtId="41" fontId="11" fillId="0" borderId="5" xfId="2" applyNumberFormat="1" applyFont="1" applyBorder="1" applyAlignment="1">
      <alignment vertical="center"/>
    </xf>
    <xf numFmtId="2" fontId="11" fillId="0" borderId="58" xfId="3" applyNumberFormat="1" applyFont="1" applyBorder="1" applyAlignment="1">
      <alignment vertical="center"/>
    </xf>
    <xf numFmtId="0" fontId="53" fillId="7" borderId="0" xfId="0" applyFont="1" applyFill="1" applyBorder="1" applyAlignment="1">
      <alignment horizontal="left" vertical="center"/>
    </xf>
    <xf numFmtId="164" fontId="11" fillId="0" borderId="27" xfId="2" applyNumberFormat="1" applyFont="1" applyBorder="1" applyAlignment="1">
      <alignment horizontal="center" vertical="center"/>
    </xf>
    <xf numFmtId="164" fontId="11" fillId="0" borderId="27" xfId="2" applyNumberFormat="1" applyFont="1" applyBorder="1" applyAlignment="1">
      <alignment vertical="center"/>
    </xf>
    <xf numFmtId="2" fontId="11" fillId="0" borderId="27" xfId="3" applyNumberFormat="1" applyFont="1" applyBorder="1" applyAlignment="1">
      <alignment vertical="center"/>
    </xf>
    <xf numFmtId="0" fontId="53" fillId="6" borderId="87" xfId="0" applyFont="1" applyFill="1" applyBorder="1" applyAlignment="1">
      <alignment horizontal="center" vertical="center"/>
    </xf>
    <xf numFmtId="0" fontId="53" fillId="6" borderId="77" xfId="0" applyFont="1" applyFill="1" applyBorder="1" applyAlignment="1">
      <alignment horizontal="left" vertical="center"/>
    </xf>
    <xf numFmtId="0" fontId="56" fillId="6" borderId="87" xfId="0" applyFont="1" applyFill="1" applyBorder="1"/>
    <xf numFmtId="0" fontId="53" fillId="6" borderId="86" xfId="0" applyFont="1" applyFill="1" applyBorder="1" applyAlignment="1">
      <alignment horizontal="right" vertical="center"/>
    </xf>
    <xf numFmtId="41" fontId="36" fillId="6" borderId="11" xfId="2" applyNumberFormat="1" applyFont="1" applyFill="1" applyBorder="1" applyAlignment="1">
      <alignment horizontal="center" vertical="center"/>
    </xf>
    <xf numFmtId="164" fontId="36" fillId="6" borderId="86" xfId="2" applyNumberFormat="1" applyFont="1" applyFill="1" applyBorder="1" applyAlignment="1">
      <alignment horizontal="center" vertical="center"/>
    </xf>
    <xf numFmtId="164" fontId="36" fillId="6" borderId="10" xfId="2" applyNumberFormat="1" applyFont="1" applyFill="1" applyBorder="1" applyAlignment="1">
      <alignment vertical="center"/>
    </xf>
    <xf numFmtId="2" fontId="36" fillId="6" borderId="11" xfId="3" applyNumberFormat="1" applyFont="1" applyFill="1" applyBorder="1" applyAlignment="1">
      <alignment vertical="center"/>
    </xf>
    <xf numFmtId="41" fontId="11" fillId="6" borderId="11" xfId="2" applyNumberFormat="1" applyFont="1" applyFill="1" applyBorder="1" applyAlignment="1">
      <alignment vertical="center"/>
    </xf>
    <xf numFmtId="41" fontId="36" fillId="6" borderId="10" xfId="2" applyNumberFormat="1" applyFont="1" applyFill="1" applyBorder="1" applyAlignment="1">
      <alignment vertical="center"/>
    </xf>
    <xf numFmtId="2" fontId="11" fillId="6" borderId="11" xfId="3" applyNumberFormat="1" applyFont="1" applyFill="1" applyBorder="1" applyAlignment="1">
      <alignment vertical="center"/>
    </xf>
    <xf numFmtId="41" fontId="36" fillId="6" borderId="11" xfId="2" applyNumberFormat="1" applyFont="1" applyFill="1" applyBorder="1" applyAlignment="1">
      <alignment vertical="center"/>
    </xf>
    <xf numFmtId="2" fontId="11" fillId="6" borderId="87" xfId="3" applyNumberFormat="1" applyFont="1" applyFill="1" applyBorder="1" applyAlignment="1">
      <alignment vertical="center"/>
    </xf>
    <xf numFmtId="0" fontId="56" fillId="0" borderId="0" xfId="0" applyFont="1"/>
    <xf numFmtId="0" fontId="54" fillId="7" borderId="60" xfId="0" applyFont="1" applyFill="1" applyBorder="1" applyAlignment="1">
      <alignment horizontal="left" vertical="center" wrapText="1"/>
    </xf>
    <xf numFmtId="164" fontId="11" fillId="0" borderId="54" xfId="2" applyNumberFormat="1" applyFont="1" applyBorder="1" applyAlignment="1">
      <alignment horizontal="center" vertical="center"/>
    </xf>
    <xf numFmtId="41" fontId="11" fillId="0" borderId="31" xfId="2" applyNumberFormat="1" applyFont="1" applyBorder="1" applyAlignment="1">
      <alignment horizontal="center" vertical="center"/>
    </xf>
    <xf numFmtId="164" fontId="11" fillId="0" borderId="26" xfId="2" applyNumberFormat="1" applyFont="1" applyBorder="1" applyAlignment="1">
      <alignment horizontal="center" vertical="center"/>
    </xf>
    <xf numFmtId="0" fontId="53" fillId="7" borderId="90" xfId="0" applyFont="1" applyFill="1" applyBorder="1" applyAlignment="1">
      <alignment horizontal="center" vertical="center"/>
    </xf>
    <xf numFmtId="0" fontId="54" fillId="7" borderId="90" xfId="0" applyFont="1" applyFill="1" applyBorder="1" applyAlignment="1">
      <alignment horizontal="left" vertical="center" wrapText="1"/>
    </xf>
    <xf numFmtId="41" fontId="11" fillId="0" borderId="23" xfId="2" applyNumberFormat="1" applyFont="1" applyBorder="1" applyAlignment="1">
      <alignment horizontal="center" vertical="center"/>
    </xf>
    <xf numFmtId="164" fontId="11" fillId="0" borderId="91" xfId="2" applyNumberFormat="1" applyFont="1" applyBorder="1" applyAlignment="1">
      <alignment horizontal="center" vertical="center"/>
    </xf>
    <xf numFmtId="164" fontId="11" fillId="0" borderId="2" xfId="2" applyNumberFormat="1" applyFont="1" applyBorder="1" applyAlignment="1">
      <alignment vertical="center"/>
    </xf>
    <xf numFmtId="2" fontId="11" fillId="0" borderId="2" xfId="3" applyNumberFormat="1" applyFont="1" applyBorder="1" applyAlignment="1">
      <alignment vertical="center"/>
    </xf>
    <xf numFmtId="41" fontId="11" fillId="0" borderId="2" xfId="2" applyNumberFormat="1" applyFont="1" applyBorder="1" applyAlignment="1">
      <alignment vertical="center"/>
    </xf>
    <xf numFmtId="41" fontId="11" fillId="0" borderId="1" xfId="2" applyNumberFormat="1" applyFont="1" applyBorder="1" applyAlignment="1">
      <alignment vertical="center"/>
    </xf>
    <xf numFmtId="2" fontId="11" fillId="0" borderId="92" xfId="3" applyNumberFormat="1" applyFont="1" applyBorder="1" applyAlignment="1">
      <alignment vertical="center"/>
    </xf>
    <xf numFmtId="0" fontId="53" fillId="6" borderId="87" xfId="0" applyFont="1" applyFill="1" applyBorder="1" applyAlignment="1">
      <alignment horizontal="left" vertical="center"/>
    </xf>
    <xf numFmtId="164" fontId="36" fillId="6" borderId="74" xfId="2" applyNumberFormat="1" applyFont="1" applyFill="1" applyBorder="1" applyAlignment="1">
      <alignment horizontal="center" vertical="center"/>
    </xf>
    <xf numFmtId="164" fontId="36" fillId="6" borderId="11" xfId="2" applyNumberFormat="1" applyFont="1" applyFill="1" applyBorder="1" applyAlignment="1">
      <alignment vertical="center"/>
    </xf>
    <xf numFmtId="0" fontId="36" fillId="0" borderId="0" xfId="0" applyFont="1"/>
    <xf numFmtId="0" fontId="53" fillId="7" borderId="80" xfId="0" applyFont="1" applyFill="1" applyBorder="1" applyAlignment="1">
      <alignment horizontal="left" vertical="center"/>
    </xf>
    <xf numFmtId="0" fontId="53" fillId="7" borderId="60" xfId="0" applyFont="1" applyFill="1" applyBorder="1" applyAlignment="1">
      <alignment horizontal="left" vertical="center"/>
    </xf>
    <xf numFmtId="41" fontId="11" fillId="0" borderId="54" xfId="2" applyNumberFormat="1" applyFont="1" applyBorder="1" applyAlignment="1">
      <alignment horizontal="center" vertical="center"/>
    </xf>
    <xf numFmtId="0" fontId="53" fillId="7" borderId="93" xfId="0" applyFont="1" applyFill="1" applyBorder="1" applyAlignment="1">
      <alignment horizontal="left" vertical="center"/>
    </xf>
    <xf numFmtId="0" fontId="53" fillId="7" borderId="90" xfId="0" applyFont="1" applyFill="1" applyBorder="1" applyAlignment="1">
      <alignment horizontal="left" vertical="center"/>
    </xf>
    <xf numFmtId="41" fontId="11" fillId="0" borderId="91" xfId="2" applyNumberFormat="1" applyFont="1" applyBorder="1" applyAlignment="1">
      <alignment horizontal="center" vertical="center"/>
    </xf>
    <xf numFmtId="0" fontId="36" fillId="6" borderId="87" xfId="0" applyFont="1" applyFill="1" applyBorder="1" applyAlignment="1">
      <alignment horizontal="center" vertical="center"/>
    </xf>
    <xf numFmtId="0" fontId="36" fillId="6" borderId="12" xfId="0" applyFont="1" applyFill="1" applyBorder="1" applyAlignment="1">
      <alignment horizontal="center" vertical="center"/>
    </xf>
    <xf numFmtId="0" fontId="36" fillId="6" borderId="86" xfId="0" applyFont="1" applyFill="1" applyBorder="1" applyAlignment="1">
      <alignment horizontal="center" vertical="center"/>
    </xf>
    <xf numFmtId="41" fontId="36" fillId="6" borderId="10" xfId="2" applyNumberFormat="1" applyFont="1" applyFill="1" applyBorder="1" applyAlignment="1">
      <alignment horizontal="center" vertical="center"/>
    </xf>
    <xf numFmtId="2" fontId="36" fillId="6" borderId="10" xfId="3" applyNumberFormat="1" applyFont="1" applyFill="1" applyBorder="1" applyAlignment="1">
      <alignment vertical="center"/>
    </xf>
    <xf numFmtId="41" fontId="11" fillId="6" borderId="10" xfId="2" applyNumberFormat="1" applyFont="1" applyFill="1" applyBorder="1" applyAlignment="1">
      <alignment vertical="center"/>
    </xf>
    <xf numFmtId="2" fontId="11" fillId="6" borderId="10" xfId="3" applyNumberFormat="1" applyFont="1" applyFill="1" applyBorder="1" applyAlignment="1">
      <alignment vertical="center"/>
    </xf>
    <xf numFmtId="41" fontId="36" fillId="0" borderId="0" xfId="2" applyNumberFormat="1" applyFont="1" applyBorder="1" applyAlignment="1">
      <alignment horizontal="center" vertical="center"/>
    </xf>
    <xf numFmtId="41" fontId="11" fillId="0" borderId="0" xfId="2" applyNumberFormat="1" applyFont="1" applyBorder="1" applyAlignment="1">
      <alignment vertical="center"/>
    </xf>
    <xf numFmtId="0" fontId="57" fillId="3" borderId="0" xfId="0" applyFont="1" applyFill="1" applyBorder="1" applyAlignment="1">
      <alignment horizontal="center" vertical="center" wrapText="1"/>
    </xf>
    <xf numFmtId="0" fontId="57" fillId="3" borderId="0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top" wrapText="1" readingOrder="1"/>
    </xf>
    <xf numFmtId="0" fontId="61" fillId="0" borderId="0" xfId="0" applyFont="1" applyAlignment="1">
      <alignment horizontal="center" vertical="top"/>
    </xf>
    <xf numFmtId="168" fontId="38" fillId="0" borderId="0" xfId="1" applyNumberFormat="1" applyFont="1"/>
    <xf numFmtId="0" fontId="62" fillId="3" borderId="0" xfId="0" applyFont="1" applyFill="1" applyAlignment="1">
      <alignment vertical="top" wrapText="1"/>
    </xf>
    <xf numFmtId="168" fontId="15" fillId="0" borderId="0" xfId="1" applyNumberFormat="1" applyFont="1"/>
    <xf numFmtId="0" fontId="61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59" fillId="0" borderId="0" xfId="0" applyFont="1" applyAlignment="1">
      <alignment horizontal="center" vertical="top"/>
    </xf>
    <xf numFmtId="0" fontId="60" fillId="0" borderId="0" xfId="0" applyFont="1" applyAlignment="1">
      <alignment horizontal="center" vertical="top"/>
    </xf>
    <xf numFmtId="0" fontId="23" fillId="0" borderId="0" xfId="0" applyFont="1" applyAlignment="1">
      <alignment horizontal="center"/>
    </xf>
    <xf numFmtId="164" fontId="11" fillId="0" borderId="4" xfId="2" applyNumberFormat="1" applyFont="1" applyBorder="1" applyAlignment="1">
      <alignment horizontal="center" vertical="center" wrapText="1"/>
    </xf>
    <xf numFmtId="41" fontId="9" fillId="3" borderId="54" xfId="1" applyNumberFormat="1" applyFont="1" applyFill="1" applyBorder="1" applyAlignment="1">
      <alignment horizontal="center" vertical="center"/>
    </xf>
    <xf numFmtId="0" fontId="53" fillId="6" borderId="86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top" wrapText="1"/>
    </xf>
    <xf numFmtId="43" fontId="0" fillId="2" borderId="0" xfId="1" applyFont="1" applyFill="1"/>
    <xf numFmtId="43" fontId="64" fillId="0" borderId="0" xfId="1" applyFont="1" applyAlignment="1">
      <alignment horizontal="center"/>
    </xf>
    <xf numFmtId="2" fontId="36" fillId="0" borderId="5" xfId="0" applyNumberFormat="1" applyFont="1" applyBorder="1" applyAlignment="1">
      <alignment vertical="center"/>
    </xf>
    <xf numFmtId="37" fontId="55" fillId="3" borderId="27" xfId="0" applyNumberFormat="1" applyFont="1" applyFill="1" applyBorder="1" applyAlignment="1">
      <alignment horizontal="center" vertical="center"/>
    </xf>
    <xf numFmtId="164" fontId="66" fillId="0" borderId="4" xfId="2" applyNumberFormat="1" applyFont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8" fillId="3" borderId="32" xfId="0" applyFont="1" applyFill="1" applyBorder="1" applyAlignment="1">
      <alignment horizontal="left"/>
    </xf>
    <xf numFmtId="0" fontId="67" fillId="0" borderId="0" xfId="0" applyFont="1"/>
    <xf numFmtId="0" fontId="51" fillId="3" borderId="0" xfId="0" applyFont="1" applyFill="1" applyAlignment="1">
      <alignment horizontal="center"/>
    </xf>
    <xf numFmtId="0" fontId="67" fillId="3" borderId="0" xfId="0" applyFont="1" applyFill="1"/>
    <xf numFmtId="43" fontId="67" fillId="3" borderId="0" xfId="1" applyFont="1" applyFill="1" applyAlignment="1">
      <alignment horizontal="center"/>
    </xf>
    <xf numFmtId="0" fontId="30" fillId="0" borderId="0" xfId="0" applyFont="1" applyAlignment="1">
      <alignment horizontal="center"/>
    </xf>
    <xf numFmtId="166" fontId="67" fillId="0" borderId="0" xfId="0" applyNumberFormat="1" applyFont="1"/>
    <xf numFmtId="43" fontId="67" fillId="0" borderId="0" xfId="1" applyFont="1"/>
    <xf numFmtId="10" fontId="8" fillId="3" borderId="55" xfId="1" applyNumberFormat="1" applyFont="1" applyFill="1" applyBorder="1"/>
    <xf numFmtId="2" fontId="36" fillId="0" borderId="27" xfId="0" applyNumberFormat="1" applyFont="1" applyBorder="1" applyAlignment="1">
      <alignment vertical="center"/>
    </xf>
    <xf numFmtId="43" fontId="31" fillId="0" borderId="27" xfId="1" applyFont="1" applyBorder="1" applyAlignment="1">
      <alignment horizontal="center" vertical="center" wrapText="1"/>
    </xf>
    <xf numFmtId="166" fontId="32" fillId="0" borderId="27" xfId="1" applyNumberFormat="1" applyFont="1" applyBorder="1" applyAlignment="1">
      <alignment horizontal="center" vertical="center"/>
    </xf>
    <xf numFmtId="43" fontId="31" fillId="0" borderId="27" xfId="1" applyFont="1" applyBorder="1" applyAlignment="1">
      <alignment horizontal="center" vertical="center"/>
    </xf>
    <xf numFmtId="166" fontId="31" fillId="0" borderId="27" xfId="1" applyNumberFormat="1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 wrapText="1"/>
    </xf>
    <xf numFmtId="0" fontId="32" fillId="0" borderId="27" xfId="0" applyFont="1" applyBorder="1"/>
    <xf numFmtId="2" fontId="32" fillId="0" borderId="27" xfId="0" applyNumberFormat="1" applyFont="1" applyBorder="1" applyAlignment="1">
      <alignment horizontal="center" vertical="center"/>
    </xf>
    <xf numFmtId="42" fontId="27" fillId="0" borderId="0" xfId="0" applyNumberFormat="1" applyFont="1"/>
    <xf numFmtId="166" fontId="68" fillId="3" borderId="19" xfId="1" applyNumberFormat="1" applyFont="1" applyFill="1" applyBorder="1" applyAlignment="1">
      <alignment horizontal="center" vertical="center"/>
    </xf>
    <xf numFmtId="166" fontId="9" fillId="3" borderId="19" xfId="1" applyNumberFormat="1" applyFont="1" applyFill="1" applyBorder="1" applyAlignment="1">
      <alignment horizontal="center" vertical="center"/>
    </xf>
    <xf numFmtId="43" fontId="31" fillId="0" borderId="0" xfId="1" applyFont="1" applyAlignment="1">
      <alignment horizontal="center" vertical="center"/>
    </xf>
    <xf numFmtId="43" fontId="31" fillId="4" borderId="27" xfId="1" applyFont="1" applyFill="1" applyBorder="1" applyAlignment="1">
      <alignment horizontal="center" vertical="center"/>
    </xf>
    <xf numFmtId="43" fontId="33" fillId="0" borderId="0" xfId="1" applyFont="1" applyAlignment="1">
      <alignment horizontal="center" vertical="center"/>
    </xf>
    <xf numFmtId="43" fontId="27" fillId="0" borderId="0" xfId="1" applyFont="1" applyAlignment="1">
      <alignment horizontal="center" vertical="center"/>
    </xf>
    <xf numFmtId="41" fontId="32" fillId="0" borderId="27" xfId="2" applyFont="1" applyBorder="1" applyAlignment="1">
      <alignment horizontal="center" vertical="center"/>
    </xf>
    <xf numFmtId="41" fontId="31" fillId="0" borderId="27" xfId="2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/>
    <xf numFmtId="2" fontId="32" fillId="0" borderId="0" xfId="0" applyNumberFormat="1" applyFont="1" applyBorder="1" applyAlignment="1">
      <alignment horizontal="center" vertical="center"/>
    </xf>
    <xf numFmtId="0" fontId="31" fillId="0" borderId="0" xfId="0" applyFont="1" applyBorder="1"/>
    <xf numFmtId="0" fontId="32" fillId="0" borderId="0" xfId="0" applyFont="1" applyBorder="1" applyAlignment="1">
      <alignment horizontal="center" vertical="center"/>
    </xf>
    <xf numFmtId="0" fontId="31" fillId="3" borderId="0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8" fillId="3" borderId="32" xfId="0" applyFont="1" applyFill="1" applyBorder="1" applyAlignment="1">
      <alignment horizontal="left"/>
    </xf>
    <xf numFmtId="0" fontId="8" fillId="3" borderId="33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8" fillId="3" borderId="32" xfId="0" applyFont="1" applyFill="1" applyBorder="1" applyAlignment="1">
      <alignment horizontal="left"/>
    </xf>
    <xf numFmtId="41" fontId="9" fillId="5" borderId="5" xfId="1" applyNumberFormat="1" applyFont="1" applyFill="1" applyBorder="1" applyAlignment="1">
      <alignment horizontal="center"/>
    </xf>
    <xf numFmtId="166" fontId="9" fillId="5" borderId="26" xfId="1" applyNumberFormat="1" applyFont="1" applyFill="1" applyBorder="1" applyAlignment="1">
      <alignment horizontal="center" wrapText="1"/>
    </xf>
    <xf numFmtId="166" fontId="9" fillId="5" borderId="3" xfId="1" applyNumberFormat="1" applyFont="1" applyFill="1" applyBorder="1" applyAlignment="1">
      <alignment horizontal="center" wrapText="1"/>
    </xf>
    <xf numFmtId="166" fontId="9" fillId="5" borderId="19" xfId="1" applyNumberFormat="1" applyFont="1" applyFill="1" applyBorder="1" applyAlignment="1">
      <alignment horizontal="center" wrapText="1"/>
    </xf>
    <xf numFmtId="3" fontId="24" fillId="5" borderId="0" xfId="0" applyNumberFormat="1" applyFont="1" applyFill="1"/>
    <xf numFmtId="165" fontId="0" fillId="3" borderId="0" xfId="0" applyNumberFormat="1" applyFill="1"/>
    <xf numFmtId="43" fontId="69" fillId="3" borderId="0" xfId="1" applyFont="1" applyFill="1" applyAlignment="1">
      <alignment horizontal="center"/>
    </xf>
    <xf numFmtId="43" fontId="0" fillId="0" borderId="27" xfId="1" applyFont="1" applyBorder="1"/>
    <xf numFmtId="43" fontId="70" fillId="0" borderId="27" xfId="1" applyFont="1" applyBorder="1"/>
    <xf numFmtId="0" fontId="8" fillId="0" borderId="0" xfId="0" quotePrefix="1" applyFont="1" applyBorder="1" applyAlignment="1"/>
    <xf numFmtId="166" fontId="8" fillId="3" borderId="70" xfId="0" applyNumberFormat="1" applyFont="1" applyFill="1" applyBorder="1"/>
    <xf numFmtId="167" fontId="8" fillId="3" borderId="70" xfId="0" applyNumberFormat="1" applyFont="1" applyFill="1" applyBorder="1"/>
    <xf numFmtId="167" fontId="8" fillId="3" borderId="70" xfId="1" applyNumberFormat="1" applyFont="1" applyFill="1" applyBorder="1"/>
    <xf numFmtId="10" fontId="8" fillId="3" borderId="70" xfId="0" applyNumberFormat="1" applyFont="1" applyFill="1" applyBorder="1"/>
    <xf numFmtId="41" fontId="9" fillId="3" borderId="18" xfId="1" applyNumberFormat="1" applyFont="1" applyFill="1" applyBorder="1" applyAlignment="1">
      <alignment horizontal="center"/>
    </xf>
    <xf numFmtId="41" fontId="8" fillId="3" borderId="29" xfId="0" applyNumberFormat="1" applyFont="1" applyFill="1" applyBorder="1"/>
    <xf numFmtId="41" fontId="9" fillId="3" borderId="21" xfId="1" applyNumberFormat="1" applyFont="1" applyFill="1" applyBorder="1" applyAlignment="1">
      <alignment horizontal="center"/>
    </xf>
    <xf numFmtId="41" fontId="8" fillId="3" borderId="29" xfId="0" applyNumberFormat="1" applyFont="1" applyFill="1" applyBorder="1" applyAlignment="1">
      <alignment horizontal="center"/>
    </xf>
    <xf numFmtId="41" fontId="9" fillId="3" borderId="33" xfId="1" applyNumberFormat="1" applyFont="1" applyFill="1" applyBorder="1" applyAlignment="1">
      <alignment horizontal="center"/>
    </xf>
    <xf numFmtId="41" fontId="9" fillId="3" borderId="47" xfId="1" applyNumberFormat="1" applyFont="1" applyFill="1" applyBorder="1" applyAlignment="1">
      <alignment horizontal="center"/>
    </xf>
    <xf numFmtId="41" fontId="9" fillId="3" borderId="3" xfId="1" applyNumberFormat="1" applyFont="1" applyFill="1" applyBorder="1" applyAlignment="1">
      <alignment horizontal="center"/>
    </xf>
    <xf numFmtId="41" fontId="9" fillId="3" borderId="24" xfId="1" applyNumberFormat="1" applyFont="1" applyFill="1" applyBorder="1" applyAlignment="1">
      <alignment horizontal="center"/>
    </xf>
    <xf numFmtId="41" fontId="8" fillId="3" borderId="33" xfId="0" applyNumberFormat="1" applyFont="1" applyFill="1" applyBorder="1"/>
    <xf numFmtId="41" fontId="8" fillId="3" borderId="7" xfId="0" applyNumberFormat="1" applyFont="1" applyFill="1" applyBorder="1"/>
    <xf numFmtId="0" fontId="0" fillId="3" borderId="27" xfId="0" applyFill="1" applyBorder="1"/>
    <xf numFmtId="166" fontId="9" fillId="3" borderId="11" xfId="0" applyNumberFormat="1" applyFont="1" applyFill="1" applyBorder="1"/>
    <xf numFmtId="166" fontId="8" fillId="3" borderId="12" xfId="0" applyNumberFormat="1" applyFont="1" applyFill="1" applyBorder="1" applyAlignment="1">
      <alignment horizontal="center"/>
    </xf>
    <xf numFmtId="166" fontId="24" fillId="0" borderId="70" xfId="1" applyNumberFormat="1" applyFont="1" applyBorder="1" applyAlignment="1">
      <alignment horizontal="right"/>
    </xf>
    <xf numFmtId="0" fontId="71" fillId="0" borderId="0" xfId="0" applyFont="1" applyAlignment="1">
      <alignment horizontal="right"/>
    </xf>
    <xf numFmtId="166" fontId="0" fillId="0" borderId="0" xfId="1" applyNumberFormat="1" applyFont="1"/>
    <xf numFmtId="167" fontId="9" fillId="3" borderId="27" xfId="0" applyNumberFormat="1" applyFont="1" applyFill="1" applyBorder="1"/>
    <xf numFmtId="167" fontId="8" fillId="3" borderId="55" xfId="0" applyNumberFormat="1" applyFont="1" applyFill="1" applyBorder="1"/>
    <xf numFmtId="0" fontId="8" fillId="3" borderId="33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8" fillId="3" borderId="32" xfId="0" applyFont="1" applyFill="1" applyBorder="1" applyAlignment="1">
      <alignment horizontal="left"/>
    </xf>
    <xf numFmtId="0" fontId="36" fillId="0" borderId="70" xfId="0" applyFont="1" applyBorder="1" applyAlignment="1">
      <alignment horizontal="center" vertical="center"/>
    </xf>
    <xf numFmtId="167" fontId="9" fillId="3" borderId="1" xfId="1" applyNumberFormat="1" applyFont="1" applyFill="1" applyBorder="1"/>
    <xf numFmtId="0" fontId="8" fillId="3" borderId="33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8" fillId="3" borderId="32" xfId="0" applyFont="1" applyFill="1" applyBorder="1" applyAlignment="1">
      <alignment horizontal="left"/>
    </xf>
    <xf numFmtId="41" fontId="0" fillId="5" borderId="0" xfId="2" applyFont="1" applyFill="1"/>
    <xf numFmtId="41" fontId="8" fillId="3" borderId="11" xfId="0" applyNumberFormat="1" applyFont="1" applyFill="1" applyBorder="1"/>
    <xf numFmtId="41" fontId="70" fillId="5" borderId="87" xfId="2" applyFont="1" applyFill="1" applyBorder="1"/>
    <xf numFmtId="41" fontId="8" fillId="3" borderId="28" xfId="0" applyNumberFormat="1" applyFont="1" applyFill="1" applyBorder="1"/>
    <xf numFmtId="41" fontId="70" fillId="0" borderId="87" xfId="2" applyFont="1" applyBorder="1"/>
    <xf numFmtId="166" fontId="8" fillId="3" borderId="28" xfId="0" applyNumberFormat="1" applyFont="1" applyFill="1" applyBorder="1"/>
    <xf numFmtId="41" fontId="0" fillId="3" borderId="0" xfId="2" applyFont="1" applyFill="1"/>
    <xf numFmtId="0" fontId="9" fillId="3" borderId="27" xfId="0" applyFont="1" applyFill="1" applyBorder="1" applyAlignment="1">
      <alignment wrapText="1"/>
    </xf>
    <xf numFmtId="166" fontId="9" fillId="3" borderId="27" xfId="1" applyNumberFormat="1" applyFont="1" applyFill="1" applyBorder="1"/>
    <xf numFmtId="166" fontId="9" fillId="3" borderId="27" xfId="1" applyNumberFormat="1" applyFont="1" applyFill="1" applyBorder="1" applyAlignment="1">
      <alignment horizontal="center"/>
    </xf>
    <xf numFmtId="43" fontId="9" fillId="3" borderId="27" xfId="1" applyFont="1" applyFill="1" applyBorder="1"/>
    <xf numFmtId="167" fontId="9" fillId="3" borderId="27" xfId="1" applyNumberFormat="1" applyFont="1" applyFill="1" applyBorder="1"/>
    <xf numFmtId="0" fontId="0" fillId="0" borderId="27" xfId="0" applyBorder="1"/>
    <xf numFmtId="41" fontId="9" fillId="3" borderId="27" xfId="1" applyNumberFormat="1" applyFont="1" applyFill="1" applyBorder="1" applyAlignment="1">
      <alignment horizontal="center"/>
    </xf>
    <xf numFmtId="41" fontId="9" fillId="3" borderId="27" xfId="1" applyNumberFormat="1" applyFont="1" applyFill="1" applyBorder="1"/>
    <xf numFmtId="41" fontId="9" fillId="3" borderId="27" xfId="0" applyNumberFormat="1" applyFont="1" applyFill="1" applyBorder="1"/>
    <xf numFmtId="43" fontId="9" fillId="3" borderId="27" xfId="1" applyFont="1" applyFill="1" applyBorder="1" applyAlignment="1"/>
    <xf numFmtId="166" fontId="9" fillId="3" borderId="27" xfId="1" applyNumberFormat="1" applyFont="1" applyFill="1" applyBorder="1" applyAlignment="1">
      <alignment horizontal="center" wrapText="1"/>
    </xf>
    <xf numFmtId="0" fontId="9" fillId="3" borderId="27" xfId="0" applyFont="1" applyFill="1" applyBorder="1" applyAlignment="1">
      <alignment horizontal="left" vertical="top" wrapText="1"/>
    </xf>
    <xf numFmtId="166" fontId="8" fillId="3" borderId="13" xfId="0" applyNumberFormat="1" applyFont="1" applyFill="1" applyBorder="1"/>
    <xf numFmtId="43" fontId="9" fillId="3" borderId="17" xfId="1" applyFont="1" applyFill="1" applyBorder="1"/>
    <xf numFmtId="43" fontId="9" fillId="3" borderId="20" xfId="1" applyFont="1" applyFill="1" applyBorder="1"/>
    <xf numFmtId="43" fontId="9" fillId="3" borderId="23" xfId="1" applyFont="1" applyFill="1" applyBorder="1"/>
    <xf numFmtId="0" fontId="5" fillId="3" borderId="20" xfId="0" applyFont="1" applyFill="1" applyBorder="1"/>
    <xf numFmtId="43" fontId="9" fillId="3" borderId="32" xfId="1" applyFont="1" applyFill="1" applyBorder="1"/>
    <xf numFmtId="43" fontId="9" fillId="3" borderId="2" xfId="1" applyFont="1" applyFill="1" applyBorder="1"/>
    <xf numFmtId="0" fontId="70" fillId="0" borderId="0" xfId="0" applyFont="1"/>
    <xf numFmtId="41" fontId="0" fillId="3" borderId="0" xfId="2" applyFont="1" applyFill="1" applyAlignment="1">
      <alignment horizontal="center"/>
    </xf>
    <xf numFmtId="0" fontId="64" fillId="0" borderId="0" xfId="0" applyFont="1" applyAlignment="1">
      <alignment horizontal="right"/>
    </xf>
    <xf numFmtId="0" fontId="72" fillId="0" borderId="0" xfId="0" applyFont="1" applyAlignment="1">
      <alignment horizontal="right"/>
    </xf>
    <xf numFmtId="0" fontId="75" fillId="3" borderId="27" xfId="0" applyFont="1" applyFill="1" applyBorder="1" applyAlignment="1">
      <alignment wrapText="1"/>
    </xf>
    <xf numFmtId="0" fontId="75" fillId="3" borderId="27" xfId="0" quotePrefix="1" applyFont="1" applyFill="1" applyBorder="1" applyAlignment="1">
      <alignment horizontal="left" vertical="top" wrapText="1"/>
    </xf>
    <xf numFmtId="41" fontId="0" fillId="3" borderId="27" xfId="2" applyFont="1" applyFill="1" applyBorder="1" applyAlignment="1">
      <alignment horizontal="center"/>
    </xf>
    <xf numFmtId="41" fontId="70" fillId="3" borderId="27" xfId="2" applyFont="1" applyFill="1" applyBorder="1" applyAlignment="1">
      <alignment horizontal="center"/>
    </xf>
    <xf numFmtId="0" fontId="8" fillId="3" borderId="33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8" fillId="3" borderId="32" xfId="0" applyFont="1" applyFill="1" applyBorder="1" applyAlignment="1">
      <alignment horizontal="left"/>
    </xf>
    <xf numFmtId="168" fontId="0" fillId="3" borderId="0" xfId="0" applyNumberFormat="1" applyFill="1"/>
    <xf numFmtId="41" fontId="9" fillId="3" borderId="5" xfId="0" applyNumberFormat="1" applyFont="1" applyFill="1" applyBorder="1" applyAlignment="1">
      <alignment horizontal="center"/>
    </xf>
    <xf numFmtId="41" fontId="70" fillId="3" borderId="0" xfId="2" applyFont="1" applyFill="1"/>
    <xf numFmtId="166" fontId="70" fillId="0" borderId="0" xfId="1" applyNumberFormat="1" applyFont="1"/>
    <xf numFmtId="165" fontId="0" fillId="0" borderId="0" xfId="0" applyNumberFormat="1"/>
    <xf numFmtId="43" fontId="70" fillId="0" borderId="0" xfId="1" applyFont="1"/>
    <xf numFmtId="41" fontId="70" fillId="3" borderId="28" xfId="2" applyFont="1" applyFill="1" applyBorder="1" applyAlignment="1">
      <alignment horizontal="center"/>
    </xf>
    <xf numFmtId="41" fontId="0" fillId="3" borderId="28" xfId="2" applyFont="1" applyFill="1" applyBorder="1" applyAlignment="1">
      <alignment horizontal="center"/>
    </xf>
    <xf numFmtId="41" fontId="0" fillId="3" borderId="51" xfId="2" applyFont="1" applyFill="1" applyBorder="1" applyAlignment="1">
      <alignment horizontal="center"/>
    </xf>
    <xf numFmtId="41" fontId="70" fillId="3" borderId="74" xfId="2" applyFont="1" applyFill="1" applyBorder="1" applyAlignment="1">
      <alignment horizontal="center"/>
    </xf>
    <xf numFmtId="41" fontId="70" fillId="3" borderId="4" xfId="2" applyFont="1" applyFill="1" applyBorder="1" applyAlignment="1">
      <alignment horizontal="center"/>
    </xf>
    <xf numFmtId="41" fontId="0" fillId="3" borderId="4" xfId="2" applyFont="1" applyFill="1" applyBorder="1" applyAlignment="1">
      <alignment horizontal="center"/>
    </xf>
    <xf numFmtId="41" fontId="0" fillId="3" borderId="27" xfId="2" applyFont="1" applyFill="1" applyBorder="1"/>
    <xf numFmtId="166" fontId="0" fillId="0" borderId="27" xfId="1" applyNumberFormat="1" applyFont="1" applyBorder="1"/>
    <xf numFmtId="41" fontId="70" fillId="3" borderId="27" xfId="2" applyFont="1" applyFill="1" applyBorder="1"/>
    <xf numFmtId="41" fontId="0" fillId="3" borderId="6" xfId="2" applyFont="1" applyFill="1" applyBorder="1"/>
    <xf numFmtId="166" fontId="0" fillId="0" borderId="6" xfId="1" applyNumberFormat="1" applyFont="1" applyBorder="1"/>
    <xf numFmtId="43" fontId="0" fillId="0" borderId="6" xfId="1" applyFont="1" applyBorder="1"/>
    <xf numFmtId="41" fontId="70" fillId="3" borderId="5" xfId="2" applyFont="1" applyFill="1" applyBorder="1"/>
    <xf numFmtId="166" fontId="0" fillId="0" borderId="5" xfId="1" applyNumberFormat="1" applyFont="1" applyBorder="1"/>
    <xf numFmtId="43" fontId="0" fillId="0" borderId="5" xfId="1" applyFont="1" applyBorder="1"/>
    <xf numFmtId="41" fontId="70" fillId="3" borderId="86" xfId="2" applyFont="1" applyFill="1" applyBorder="1" applyAlignment="1">
      <alignment horizontal="center"/>
    </xf>
    <xf numFmtId="41" fontId="70" fillId="3" borderId="10" xfId="2" applyFont="1" applyFill="1" applyBorder="1" applyAlignment="1">
      <alignment horizontal="center"/>
    </xf>
    <xf numFmtId="166" fontId="70" fillId="3" borderId="10" xfId="1" applyNumberFormat="1" applyFont="1" applyFill="1" applyBorder="1" applyAlignment="1">
      <alignment horizontal="center"/>
    </xf>
    <xf numFmtId="166" fontId="70" fillId="3" borderId="94" xfId="1" applyNumberFormat="1" applyFont="1" applyFill="1" applyBorder="1" applyAlignment="1">
      <alignment horizontal="center"/>
    </xf>
    <xf numFmtId="41" fontId="0" fillId="3" borderId="5" xfId="2" applyFont="1" applyFill="1" applyBorder="1"/>
    <xf numFmtId="41" fontId="70" fillId="3" borderId="94" xfId="2" applyFont="1" applyFill="1" applyBorder="1" applyAlignment="1">
      <alignment horizontal="center"/>
    </xf>
    <xf numFmtId="166" fontId="0" fillId="0" borderId="28" xfId="1" applyNumberFormat="1" applyFont="1" applyBorder="1"/>
    <xf numFmtId="43" fontId="70" fillId="0" borderId="87" xfId="1" applyFont="1" applyBorder="1"/>
    <xf numFmtId="41" fontId="70" fillId="3" borderId="86" xfId="2" applyFont="1" applyFill="1" applyBorder="1"/>
    <xf numFmtId="41" fontId="70" fillId="3" borderId="10" xfId="2" applyFont="1" applyFill="1" applyBorder="1"/>
    <xf numFmtId="166" fontId="0" fillId="0" borderId="10" xfId="1" applyNumberFormat="1" applyFont="1" applyBorder="1"/>
    <xf numFmtId="43" fontId="0" fillId="0" borderId="94" xfId="1" applyFont="1" applyBorder="1"/>
    <xf numFmtId="41" fontId="70" fillId="3" borderId="6" xfId="2" applyFont="1" applyFill="1" applyBorder="1"/>
    <xf numFmtId="41" fontId="0" fillId="3" borderId="86" xfId="2" applyFont="1" applyFill="1" applyBorder="1"/>
    <xf numFmtId="41" fontId="0" fillId="3" borderId="10" xfId="2" applyFont="1" applyFill="1" applyBorder="1"/>
    <xf numFmtId="166" fontId="70" fillId="0" borderId="10" xfId="1" applyNumberFormat="1" applyFont="1" applyBorder="1"/>
    <xf numFmtId="43" fontId="70" fillId="0" borderId="94" xfId="1" applyFont="1" applyBorder="1"/>
    <xf numFmtId="166" fontId="70" fillId="0" borderId="27" xfId="1" applyNumberFormat="1" applyFont="1" applyBorder="1" applyAlignment="1">
      <alignment horizontal="center"/>
    </xf>
    <xf numFmtId="43" fontId="70" fillId="0" borderId="27" xfId="1" applyFont="1" applyBorder="1" applyAlignment="1">
      <alignment horizontal="center"/>
    </xf>
    <xf numFmtId="0" fontId="8" fillId="3" borderId="32" xfId="0" applyFont="1" applyFill="1" applyBorder="1" applyAlignment="1">
      <alignment horizontal="left" vertical="top" wrapText="1"/>
    </xf>
    <xf numFmtId="0" fontId="8" fillId="3" borderId="33" xfId="0" applyFont="1" applyFill="1" applyBorder="1" applyAlignment="1">
      <alignment horizontal="left" vertical="top" wrapText="1"/>
    </xf>
    <xf numFmtId="0" fontId="9" fillId="3" borderId="24" xfId="0" applyFont="1" applyFill="1" applyBorder="1" applyAlignment="1">
      <alignment horizontal="left" wrapText="1"/>
    </xf>
    <xf numFmtId="0" fontId="9" fillId="3" borderId="7" xfId="0" applyFont="1" applyFill="1" applyBorder="1" applyAlignment="1">
      <alignment horizontal="left" wrapText="1"/>
    </xf>
    <xf numFmtId="0" fontId="8" fillId="3" borderId="32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left" vertical="center" wrapText="1"/>
    </xf>
    <xf numFmtId="0" fontId="8" fillId="0" borderId="8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0" fontId="8" fillId="3" borderId="20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8" fillId="0" borderId="28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0" fillId="0" borderId="5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5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4" borderId="28" xfId="0" applyFont="1" applyFill="1" applyBorder="1" applyAlignment="1">
      <alignment horizontal="center"/>
    </xf>
    <xf numFmtId="0" fontId="20" fillId="4" borderId="53" xfId="0" applyFont="1" applyFill="1" applyBorder="1" applyAlignment="1">
      <alignment horizontal="center"/>
    </xf>
    <xf numFmtId="0" fontId="20" fillId="4" borderId="29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left"/>
    </xf>
    <xf numFmtId="0" fontId="8" fillId="3" borderId="33" xfId="0" applyFont="1" applyFill="1" applyBorder="1" applyAlignment="1">
      <alignment horizontal="left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3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9" fillId="0" borderId="55" xfId="0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8" fillId="0" borderId="0" xfId="0" applyFont="1" applyBorder="1" applyAlignment="1">
      <alignment horizontal="center"/>
    </xf>
    <xf numFmtId="0" fontId="36" fillId="0" borderId="54" xfId="0" applyFont="1" applyBorder="1" applyAlignment="1">
      <alignment horizontal="center" vertical="center"/>
    </xf>
    <xf numFmtId="0" fontId="39" fillId="0" borderId="64" xfId="0" applyFont="1" applyBorder="1" applyAlignment="1">
      <alignment horizontal="center" vertical="center" wrapText="1"/>
    </xf>
    <xf numFmtId="0" fontId="39" fillId="0" borderId="65" xfId="0" applyFont="1" applyBorder="1" applyAlignment="1">
      <alignment horizontal="center" vertical="center" wrapText="1"/>
    </xf>
    <xf numFmtId="0" fontId="39" fillId="0" borderId="66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6" fillId="0" borderId="56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left" vertical="top" wrapText="1"/>
    </xf>
    <xf numFmtId="0" fontId="41" fillId="0" borderId="1" xfId="0" applyFont="1" applyFill="1" applyBorder="1" applyAlignment="1">
      <alignment horizontal="left" vertical="top" wrapText="1"/>
    </xf>
    <xf numFmtId="0" fontId="42" fillId="0" borderId="28" xfId="0" applyFont="1" applyFill="1" applyBorder="1" applyAlignment="1">
      <alignment horizontal="center"/>
    </xf>
    <xf numFmtId="0" fontId="42" fillId="0" borderId="53" xfId="0" applyFont="1" applyFill="1" applyBorder="1" applyAlignment="1">
      <alignment horizontal="center"/>
    </xf>
    <xf numFmtId="0" fontId="42" fillId="0" borderId="29" xfId="0" applyFont="1" applyFill="1" applyBorder="1" applyAlignment="1">
      <alignment horizontal="center"/>
    </xf>
    <xf numFmtId="0" fontId="41" fillId="0" borderId="5" xfId="0" applyFont="1" applyFill="1" applyBorder="1" applyAlignment="1">
      <alignment horizontal="left" vertical="top" wrapText="1"/>
    </xf>
    <xf numFmtId="0" fontId="43" fillId="0" borderId="6" xfId="0" applyFont="1" applyFill="1" applyBorder="1" applyAlignment="1">
      <alignment horizontal="left" vertical="top" wrapText="1"/>
    </xf>
    <xf numFmtId="0" fontId="43" fillId="0" borderId="5" xfId="0" applyFont="1" applyFill="1" applyBorder="1" applyAlignment="1">
      <alignment horizontal="left" vertical="top" wrapText="1"/>
    </xf>
    <xf numFmtId="0" fontId="43" fillId="0" borderId="1" xfId="0" applyFont="1" applyFill="1" applyBorder="1" applyAlignment="1">
      <alignment horizontal="left" vertical="top" wrapText="1"/>
    </xf>
    <xf numFmtId="0" fontId="42" fillId="0" borderId="0" xfId="0" applyFont="1" applyFill="1" applyAlignment="1">
      <alignment horizontal="center"/>
    </xf>
    <xf numFmtId="0" fontId="42" fillId="0" borderId="28" xfId="0" applyFont="1" applyFill="1" applyBorder="1" applyAlignment="1">
      <alignment horizontal="left" vertical="center"/>
    </xf>
    <xf numFmtId="0" fontId="42" fillId="0" borderId="53" xfId="0" applyFont="1" applyFill="1" applyBorder="1" applyAlignment="1">
      <alignment horizontal="left" vertical="center"/>
    </xf>
    <xf numFmtId="0" fontId="42" fillId="0" borderId="29" xfId="0" applyFont="1" applyFill="1" applyBorder="1" applyAlignment="1">
      <alignment horizontal="left" vertical="center"/>
    </xf>
    <xf numFmtId="0" fontId="60" fillId="0" borderId="0" xfId="0" applyFont="1" applyAlignment="1">
      <alignment horizontal="center" vertical="top" wrapText="1"/>
    </xf>
    <xf numFmtId="0" fontId="53" fillId="7" borderId="72" xfId="0" applyFont="1" applyFill="1" applyBorder="1" applyAlignment="1">
      <alignment horizontal="center" vertical="center"/>
    </xf>
    <xf numFmtId="0" fontId="53" fillId="7" borderId="78" xfId="0" applyFont="1" applyFill="1" applyBorder="1" applyAlignment="1">
      <alignment horizontal="center" vertical="center"/>
    </xf>
    <xf numFmtId="0" fontId="53" fillId="7" borderId="83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top" wrapText="1"/>
    </xf>
    <xf numFmtId="0" fontId="60" fillId="0" borderId="0" xfId="0" applyFont="1" applyAlignment="1">
      <alignment horizontal="center" vertical="top"/>
    </xf>
    <xf numFmtId="0" fontId="63" fillId="0" borderId="0" xfId="0" applyFont="1" applyAlignment="1">
      <alignment horizontal="center" vertical="top"/>
    </xf>
    <xf numFmtId="0" fontId="52" fillId="0" borderId="72" xfId="0" applyFont="1" applyBorder="1" applyAlignment="1">
      <alignment horizontal="center" vertical="center"/>
    </xf>
    <xf numFmtId="0" fontId="52" fillId="0" borderId="78" xfId="0" applyFont="1" applyBorder="1" applyAlignment="1">
      <alignment horizontal="center" vertical="center"/>
    </xf>
    <xf numFmtId="0" fontId="52" fillId="0" borderId="83" xfId="0" applyFont="1" applyBorder="1" applyAlignment="1">
      <alignment horizontal="center" vertical="center"/>
    </xf>
    <xf numFmtId="0" fontId="36" fillId="3" borderId="74" xfId="0" applyFont="1" applyFill="1" applyBorder="1" applyAlignment="1">
      <alignment horizontal="center" vertical="center" wrapText="1"/>
    </xf>
    <xf numFmtId="0" fontId="36" fillId="3" borderId="77" xfId="0" applyFont="1" applyFill="1" applyBorder="1" applyAlignment="1">
      <alignment horizontal="center" vertical="center" wrapText="1"/>
    </xf>
    <xf numFmtId="0" fontId="36" fillId="3" borderId="81" xfId="0" applyFont="1" applyFill="1" applyBorder="1" applyAlignment="1">
      <alignment horizontal="center" vertical="center" wrapText="1"/>
    </xf>
    <xf numFmtId="0" fontId="0" fillId="0" borderId="77" xfId="0" applyBorder="1"/>
    <xf numFmtId="0" fontId="0" fillId="0" borderId="81" xfId="0" applyBorder="1"/>
    <xf numFmtId="0" fontId="23" fillId="0" borderId="74" xfId="0" applyFont="1" applyBorder="1" applyAlignment="1">
      <alignment horizontal="center" vertical="top"/>
    </xf>
    <xf numFmtId="0" fontId="23" fillId="0" borderId="77" xfId="0" applyFont="1" applyBorder="1" applyAlignment="1">
      <alignment horizontal="center" vertical="top"/>
    </xf>
    <xf numFmtId="0" fontId="23" fillId="0" borderId="81" xfId="0" applyFont="1" applyBorder="1" applyAlignment="1">
      <alignment horizontal="center" vertical="top"/>
    </xf>
    <xf numFmtId="0" fontId="14" fillId="3" borderId="0" xfId="0" applyFont="1" applyFill="1" applyAlignment="1">
      <alignment horizontal="center" vertical="center"/>
    </xf>
    <xf numFmtId="0" fontId="29" fillId="3" borderId="72" xfId="0" applyFont="1" applyFill="1" applyBorder="1" applyAlignment="1">
      <alignment horizontal="center" vertical="center" wrapText="1"/>
    </xf>
    <xf numFmtId="0" fontId="29" fillId="3" borderId="78" xfId="0" applyFont="1" applyFill="1" applyBorder="1" applyAlignment="1">
      <alignment horizontal="center" vertical="center" wrapText="1"/>
    </xf>
    <xf numFmtId="0" fontId="29" fillId="3" borderId="83" xfId="0" applyFont="1" applyFill="1" applyBorder="1" applyAlignment="1">
      <alignment horizontal="center" vertical="center" wrapText="1"/>
    </xf>
    <xf numFmtId="0" fontId="29" fillId="3" borderId="74" xfId="0" applyFont="1" applyFill="1" applyBorder="1" applyAlignment="1">
      <alignment horizontal="center" vertical="center" wrapText="1"/>
    </xf>
    <xf numFmtId="0" fontId="29" fillId="3" borderId="75" xfId="0" applyFont="1" applyFill="1" applyBorder="1" applyAlignment="1">
      <alignment horizontal="center" vertical="center" wrapText="1"/>
    </xf>
    <xf numFmtId="0" fontId="36" fillId="3" borderId="75" xfId="0" applyFont="1" applyFill="1" applyBorder="1" applyAlignment="1">
      <alignment horizontal="center" vertical="center"/>
    </xf>
    <xf numFmtId="0" fontId="36" fillId="3" borderId="79" xfId="0" applyFont="1" applyFill="1" applyBorder="1" applyAlignment="1">
      <alignment horizontal="center" vertical="center"/>
    </xf>
    <xf numFmtId="0" fontId="36" fillId="3" borderId="84" xfId="0" applyFont="1" applyFill="1" applyBorder="1" applyAlignment="1">
      <alignment horizontal="center" vertical="center"/>
    </xf>
    <xf numFmtId="168" fontId="36" fillId="3" borderId="76" xfId="1" applyNumberFormat="1" applyFont="1" applyFill="1" applyBorder="1" applyAlignment="1">
      <alignment horizontal="center" vertical="center"/>
    </xf>
    <xf numFmtId="168" fontId="36" fillId="3" borderId="80" xfId="1" applyNumberFormat="1" applyFont="1" applyFill="1" applyBorder="1" applyAlignment="1">
      <alignment horizontal="center" vertical="center"/>
    </xf>
    <xf numFmtId="168" fontId="36" fillId="3" borderId="82" xfId="1" applyNumberFormat="1" applyFont="1" applyFill="1" applyBorder="1" applyAlignment="1">
      <alignment horizontal="center" vertical="center"/>
    </xf>
    <xf numFmtId="168" fontId="36" fillId="3" borderId="85" xfId="1" applyNumberFormat="1" applyFont="1" applyFill="1" applyBorder="1" applyAlignment="1">
      <alignment horizontal="center" vertical="center"/>
    </xf>
    <xf numFmtId="0" fontId="52" fillId="0" borderId="74" xfId="0" applyFont="1" applyBorder="1" applyAlignment="1">
      <alignment horizontal="center" vertical="center"/>
    </xf>
    <xf numFmtId="0" fontId="52" fillId="0" borderId="77" xfId="0" applyFont="1" applyBorder="1" applyAlignment="1">
      <alignment horizontal="center" vertical="center"/>
    </xf>
    <xf numFmtId="0" fontId="61" fillId="0" borderId="0" xfId="0" applyFont="1" applyAlignment="1">
      <alignment horizontal="center" vertical="top" wrapText="1"/>
    </xf>
    <xf numFmtId="0" fontId="61" fillId="0" borderId="0" xfId="0" applyFont="1" applyAlignment="1">
      <alignment horizontal="center" vertical="top"/>
    </xf>
    <xf numFmtId="0" fontId="65" fillId="0" borderId="0" xfId="0" applyFont="1" applyAlignment="1">
      <alignment horizontal="center" vertical="top"/>
    </xf>
    <xf numFmtId="0" fontId="0" fillId="0" borderId="28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9" xfId="0" applyBorder="1" applyAlignment="1">
      <alignment horizontal="center"/>
    </xf>
    <xf numFmtId="0" fontId="74" fillId="0" borderId="27" xfId="0" applyFont="1" applyBorder="1" applyAlignment="1">
      <alignment horizontal="center"/>
    </xf>
    <xf numFmtId="0" fontId="73" fillId="0" borderId="27" xfId="0" applyFont="1" applyBorder="1" applyAlignment="1">
      <alignment horizontal="center"/>
    </xf>
    <xf numFmtId="0" fontId="70" fillId="0" borderId="28" xfId="0" applyFont="1" applyBorder="1" applyAlignment="1">
      <alignment horizontal="center"/>
    </xf>
    <xf numFmtId="0" fontId="70" fillId="0" borderId="53" xfId="0" applyFont="1" applyBorder="1" applyAlignment="1">
      <alignment horizontal="center"/>
    </xf>
    <xf numFmtId="0" fontId="70" fillId="0" borderId="29" xfId="0" applyFont="1" applyBorder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XFD1526"/>
  <sheetViews>
    <sheetView tabSelected="1" view="pageBreakPreview" topLeftCell="A268" zoomScaleSheetLayoutView="100" workbookViewId="0">
      <selection activeCell="G253" sqref="G253"/>
    </sheetView>
  </sheetViews>
  <sheetFormatPr defaultRowHeight="15"/>
  <cols>
    <col min="1" max="1" width="4.42578125" customWidth="1"/>
    <col min="2" max="2" width="3.85546875" customWidth="1"/>
    <col min="3" max="3" width="44.85546875" customWidth="1"/>
    <col min="4" max="4" width="12.28515625" style="128" customWidth="1"/>
    <col min="5" max="6" width="11.28515625" style="128" customWidth="1"/>
    <col min="7" max="7" width="13.140625" style="128" customWidth="1"/>
    <col min="8" max="8" width="6.85546875" customWidth="1"/>
    <col min="9" max="9" width="13.140625" customWidth="1"/>
    <col min="10" max="10" width="6.7109375" customWidth="1"/>
    <col min="11" max="11" width="14.140625" style="128" customWidth="1"/>
    <col min="12" max="12" width="10.85546875" customWidth="1"/>
    <col min="13" max="13" width="10.28515625" customWidth="1"/>
    <col min="14" max="14" width="14.28515625" style="161" bestFit="1" customWidth="1"/>
    <col min="15" max="15" width="16.85546875" style="544" bestFit="1" customWidth="1"/>
    <col min="16" max="16" width="15.140625" style="544" customWidth="1"/>
    <col min="17" max="17" width="13.28515625" customWidth="1"/>
    <col min="18" max="18" width="16.85546875" style="544" bestFit="1" customWidth="1"/>
  </cols>
  <sheetData>
    <row r="1" spans="1:18" ht="15.75">
      <c r="A1" s="832" t="s">
        <v>223</v>
      </c>
      <c r="B1" s="832"/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</row>
    <row r="2" spans="1:18" ht="15.75">
      <c r="A2" s="832" t="s">
        <v>224</v>
      </c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</row>
    <row r="3" spans="1:18" ht="15.75">
      <c r="A3" s="276"/>
      <c r="B3" s="276"/>
      <c r="C3" s="276"/>
      <c r="D3" s="276"/>
      <c r="E3" s="276"/>
      <c r="F3" s="276"/>
      <c r="G3" s="303"/>
      <c r="H3" s="276"/>
      <c r="I3" s="276"/>
      <c r="J3" s="276"/>
      <c r="K3" s="303"/>
      <c r="L3" s="276"/>
      <c r="M3" s="276"/>
    </row>
    <row r="4" spans="1:18" ht="16.5">
      <c r="A4" s="1" t="s">
        <v>213</v>
      </c>
      <c r="B4" s="2"/>
      <c r="C4" s="3" t="s">
        <v>2</v>
      </c>
      <c r="E4" s="108"/>
      <c r="G4" s="304"/>
      <c r="H4" s="4"/>
      <c r="I4" s="5"/>
      <c r="J4" s="4"/>
      <c r="M4" s="4"/>
    </row>
    <row r="5" spans="1:18" ht="18" customHeight="1" thickBot="1">
      <c r="A5" s="14" t="s">
        <v>225</v>
      </c>
      <c r="B5" s="14"/>
      <c r="C5" s="292" t="s">
        <v>226</v>
      </c>
      <c r="D5" s="129"/>
      <c r="E5" s="109"/>
      <c r="F5" s="129"/>
      <c r="G5" s="305"/>
      <c r="H5" s="14"/>
      <c r="I5" s="16"/>
      <c r="J5" s="14"/>
      <c r="K5" s="129"/>
      <c r="L5" s="15"/>
      <c r="M5" s="14"/>
    </row>
    <row r="6" spans="1:18" ht="15" customHeight="1" thickTop="1">
      <c r="A6" s="833" t="s">
        <v>3</v>
      </c>
      <c r="B6" s="836" t="s">
        <v>4</v>
      </c>
      <c r="C6" s="837"/>
      <c r="D6" s="289" t="s">
        <v>5</v>
      </c>
      <c r="E6" s="110" t="s">
        <v>6</v>
      </c>
      <c r="F6" s="130"/>
      <c r="G6" s="842" t="s">
        <v>7</v>
      </c>
      <c r="H6" s="843"/>
      <c r="I6" s="843"/>
      <c r="J6" s="843"/>
      <c r="K6" s="844" t="s">
        <v>8</v>
      </c>
      <c r="L6" s="844"/>
      <c r="M6" s="833" t="s">
        <v>9</v>
      </c>
    </row>
    <row r="7" spans="1:18" ht="15" customHeight="1">
      <c r="A7" s="834"/>
      <c r="B7" s="838"/>
      <c r="C7" s="839"/>
      <c r="D7" s="290" t="s">
        <v>10</v>
      </c>
      <c r="E7" s="111" t="s">
        <v>11</v>
      </c>
      <c r="F7" s="111" t="s">
        <v>12</v>
      </c>
      <c r="G7" s="111" t="s">
        <v>13</v>
      </c>
      <c r="H7" s="845" t="s">
        <v>14</v>
      </c>
      <c r="I7" s="6" t="s">
        <v>15</v>
      </c>
      <c r="J7" s="846" t="s">
        <v>14</v>
      </c>
      <c r="K7" s="321" t="s">
        <v>16</v>
      </c>
      <c r="L7" s="7" t="s">
        <v>17</v>
      </c>
      <c r="M7" s="834"/>
    </row>
    <row r="8" spans="1:18" ht="15" customHeight="1">
      <c r="A8" s="835"/>
      <c r="B8" s="840"/>
      <c r="C8" s="841"/>
      <c r="D8" s="291" t="s">
        <v>18</v>
      </c>
      <c r="E8" s="112" t="s">
        <v>18</v>
      </c>
      <c r="F8" s="112"/>
      <c r="G8" s="306" t="s">
        <v>19</v>
      </c>
      <c r="H8" s="835"/>
      <c r="I8" s="8" t="s">
        <v>19</v>
      </c>
      <c r="J8" s="847"/>
      <c r="K8" s="322" t="s">
        <v>18</v>
      </c>
      <c r="L8" s="9" t="s">
        <v>18</v>
      </c>
      <c r="M8" s="835"/>
    </row>
    <row r="9" spans="1:18" ht="15" customHeight="1" thickBot="1">
      <c r="A9" s="17">
        <v>1</v>
      </c>
      <c r="B9" s="828">
        <v>2</v>
      </c>
      <c r="C9" s="829"/>
      <c r="D9" s="113">
        <v>3</v>
      </c>
      <c r="E9" s="113">
        <v>4</v>
      </c>
      <c r="F9" s="113">
        <v>5</v>
      </c>
      <c r="G9" s="113">
        <v>6</v>
      </c>
      <c r="H9" s="18">
        <v>7</v>
      </c>
      <c r="I9" s="18">
        <v>8</v>
      </c>
      <c r="J9" s="18">
        <v>9</v>
      </c>
      <c r="K9" s="113">
        <v>10</v>
      </c>
      <c r="L9" s="18">
        <v>11</v>
      </c>
      <c r="M9" s="18">
        <v>12</v>
      </c>
    </row>
    <row r="10" spans="1:18" s="29" customFormat="1" ht="15" customHeight="1" thickBot="1">
      <c r="A10" s="35" t="s">
        <v>20</v>
      </c>
      <c r="B10" s="36" t="s">
        <v>21</v>
      </c>
      <c r="C10" s="37"/>
      <c r="D10" s="30">
        <f>D11+D12</f>
        <v>2257113000</v>
      </c>
      <c r="E10" s="30">
        <f>E11</f>
        <v>0</v>
      </c>
      <c r="F10" s="30">
        <v>0</v>
      </c>
      <c r="G10" s="30">
        <v>123027992</v>
      </c>
      <c r="H10" s="214">
        <f>G10/D10*100</f>
        <v>5.4506793412647037</v>
      </c>
      <c r="I10" s="30">
        <f>G10</f>
        <v>123027992</v>
      </c>
      <c r="J10" s="217">
        <f>I10/D10*100</f>
        <v>5.4506793412647037</v>
      </c>
      <c r="K10" s="142">
        <v>0</v>
      </c>
      <c r="L10" s="142">
        <v>0</v>
      </c>
      <c r="M10" s="53"/>
      <c r="N10" s="162"/>
      <c r="O10" s="659"/>
      <c r="P10" s="659"/>
      <c r="R10" s="659"/>
    </row>
    <row r="11" spans="1:18" s="29" customFormat="1" ht="15" customHeight="1" thickBot="1">
      <c r="A11" s="38" t="s">
        <v>22</v>
      </c>
      <c r="B11" s="39" t="s">
        <v>23</v>
      </c>
      <c r="C11" s="40"/>
      <c r="D11" s="31">
        <v>1872153000</v>
      </c>
      <c r="E11" s="114">
        <v>0</v>
      </c>
      <c r="F11" s="30">
        <v>0</v>
      </c>
      <c r="G11" s="143">
        <v>123027992</v>
      </c>
      <c r="H11" s="214">
        <f>G11/D11*100</f>
        <v>6.5714710282760009</v>
      </c>
      <c r="I11" s="143">
        <f>G11</f>
        <v>123027992</v>
      </c>
      <c r="J11" s="217">
        <f>I11/D11*100</f>
        <v>6.5714710282760009</v>
      </c>
      <c r="K11" s="145">
        <v>0</v>
      </c>
      <c r="L11" s="145">
        <v>0</v>
      </c>
      <c r="M11" s="146"/>
      <c r="N11" s="162"/>
      <c r="O11" s="659"/>
      <c r="P11" s="659"/>
      <c r="R11" s="659"/>
    </row>
    <row r="12" spans="1:18" s="29" customFormat="1" ht="15" customHeight="1" thickBot="1">
      <c r="A12" s="139"/>
      <c r="B12" s="140" t="s">
        <v>107</v>
      </c>
      <c r="C12" s="141"/>
      <c r="D12" s="31">
        <v>384960000</v>
      </c>
      <c r="E12" s="114">
        <v>0</v>
      </c>
      <c r="F12" s="30">
        <v>0</v>
      </c>
      <c r="G12" s="147">
        <v>0</v>
      </c>
      <c r="H12" s="53">
        <v>0</v>
      </c>
      <c r="I12" s="190">
        <v>0</v>
      </c>
      <c r="J12" s="148">
        <v>0</v>
      </c>
      <c r="K12" s="145">
        <v>0</v>
      </c>
      <c r="L12" s="145">
        <v>0</v>
      </c>
      <c r="M12" s="149"/>
      <c r="N12" s="162"/>
      <c r="O12" s="659"/>
      <c r="P12" s="659"/>
      <c r="R12" s="659"/>
    </row>
    <row r="13" spans="1:18" s="29" customFormat="1" ht="15" customHeight="1" thickBot="1">
      <c r="A13" s="35" t="s">
        <v>24</v>
      </c>
      <c r="B13" s="36" t="s">
        <v>25</v>
      </c>
      <c r="C13" s="37"/>
      <c r="D13" s="30">
        <f>D30+D40+D43+D47+D50+D53+D59+D62+D66+D69+D73+D76+D79+D82+D86+D89+D92+D97+D101+D104+D109+D112+D115+D118</f>
        <v>994212000</v>
      </c>
      <c r="E13" s="30">
        <v>0</v>
      </c>
      <c r="F13" s="30">
        <v>0</v>
      </c>
      <c r="G13" s="30">
        <v>0</v>
      </c>
      <c r="H13" s="30">
        <f>G13/D13*100</f>
        <v>0</v>
      </c>
      <c r="I13" s="114">
        <v>0</v>
      </c>
      <c r="J13" s="30">
        <f>I13/D13*100</f>
        <v>0</v>
      </c>
      <c r="K13" s="216">
        <v>0</v>
      </c>
      <c r="L13" s="215">
        <v>0</v>
      </c>
      <c r="M13" s="30"/>
      <c r="N13" s="162"/>
      <c r="O13" s="659"/>
      <c r="P13" s="659"/>
      <c r="R13" s="659"/>
    </row>
    <row r="14" spans="1:18" s="29" customFormat="1" ht="15" customHeight="1">
      <c r="A14" s="41" t="s">
        <v>26</v>
      </c>
      <c r="B14" s="42" t="s">
        <v>27</v>
      </c>
      <c r="C14" s="43"/>
      <c r="D14" s="32"/>
      <c r="E14" s="115"/>
      <c r="F14" s="32"/>
      <c r="G14" s="150"/>
      <c r="H14" s="151"/>
      <c r="I14" s="191"/>
      <c r="J14" s="150"/>
      <c r="K14" s="32"/>
      <c r="L14" s="32"/>
      <c r="M14" s="32"/>
      <c r="N14" s="162"/>
      <c r="O14" s="659"/>
      <c r="P14" s="659"/>
      <c r="R14" s="659"/>
    </row>
    <row r="15" spans="1:18" s="29" customFormat="1" ht="15" customHeight="1">
      <c r="A15" s="44"/>
      <c r="B15" s="45" t="s">
        <v>26</v>
      </c>
      <c r="C15" s="46" t="s">
        <v>28</v>
      </c>
      <c r="D15" s="33">
        <v>6000000</v>
      </c>
      <c r="E15" s="116">
        <v>0</v>
      </c>
      <c r="F15" s="131">
        <v>0</v>
      </c>
      <c r="G15" s="192">
        <v>0</v>
      </c>
      <c r="H15" s="102">
        <f>G15/D15*100</f>
        <v>0</v>
      </c>
      <c r="I15" s="192">
        <v>0</v>
      </c>
      <c r="J15" s="59">
        <v>0</v>
      </c>
      <c r="K15" s="409">
        <v>8.3333333333333329E-2</v>
      </c>
      <c r="L15" s="152"/>
      <c r="M15" s="131"/>
      <c r="N15" s="162"/>
      <c r="O15" s="659"/>
      <c r="P15" s="659"/>
      <c r="R15" s="659"/>
    </row>
    <row r="16" spans="1:18" s="29" customFormat="1" ht="15" customHeight="1">
      <c r="A16" s="44"/>
      <c r="B16" s="47" t="s">
        <v>29</v>
      </c>
      <c r="C16" s="48" t="s">
        <v>30</v>
      </c>
      <c r="D16" s="34">
        <v>8000000</v>
      </c>
      <c r="E16" s="117">
        <v>0</v>
      </c>
      <c r="F16" s="132">
        <v>0</v>
      </c>
      <c r="G16" s="192">
        <v>0</v>
      </c>
      <c r="H16" s="60">
        <f t="shared" ref="H16:H29" si="0">G16/D16*100</f>
        <v>0</v>
      </c>
      <c r="I16" s="192">
        <v>0</v>
      </c>
      <c r="J16" s="59">
        <f t="shared" ref="J16:J28" si="1">I16/D16*100</f>
        <v>0</v>
      </c>
      <c r="K16" s="409">
        <v>8.3333333333333329E-2</v>
      </c>
      <c r="L16" s="59">
        <v>0</v>
      </c>
      <c r="M16" s="132"/>
      <c r="N16" s="162"/>
      <c r="O16" s="659"/>
      <c r="P16" s="659"/>
      <c r="R16" s="659"/>
    </row>
    <row r="17" spans="1:18" s="29" customFormat="1" ht="15" customHeight="1">
      <c r="A17" s="44"/>
      <c r="B17" s="47" t="s">
        <v>29</v>
      </c>
      <c r="C17" s="48" t="s">
        <v>31</v>
      </c>
      <c r="D17" s="34">
        <v>5000000</v>
      </c>
      <c r="E17" s="117">
        <v>0</v>
      </c>
      <c r="F17" s="132">
        <v>0</v>
      </c>
      <c r="G17" s="192">
        <v>0</v>
      </c>
      <c r="H17" s="60">
        <f t="shared" si="0"/>
        <v>0</v>
      </c>
      <c r="I17" s="192">
        <v>0</v>
      </c>
      <c r="J17" s="59">
        <f t="shared" si="1"/>
        <v>0</v>
      </c>
      <c r="K17" s="409">
        <v>8.3333333333333329E-2</v>
      </c>
      <c r="L17" s="59">
        <v>0</v>
      </c>
      <c r="M17" s="132"/>
      <c r="N17" s="162"/>
      <c r="O17" s="659"/>
      <c r="P17" s="659"/>
      <c r="R17" s="659"/>
    </row>
    <row r="18" spans="1:18" s="29" customFormat="1" ht="15" customHeight="1">
      <c r="A18" s="44"/>
      <c r="B18" s="47" t="s">
        <v>29</v>
      </c>
      <c r="C18" s="48" t="s">
        <v>32</v>
      </c>
      <c r="D18" s="34">
        <v>12000000</v>
      </c>
      <c r="E18" s="117">
        <v>0</v>
      </c>
      <c r="F18" s="132">
        <v>0</v>
      </c>
      <c r="G18" s="192">
        <v>0</v>
      </c>
      <c r="H18" s="60">
        <f t="shared" si="0"/>
        <v>0</v>
      </c>
      <c r="I18" s="192">
        <v>0</v>
      </c>
      <c r="J18" s="59">
        <f t="shared" si="1"/>
        <v>0</v>
      </c>
      <c r="K18" s="409">
        <v>8.3333333333333329E-2</v>
      </c>
      <c r="L18" s="59">
        <v>0</v>
      </c>
      <c r="M18" s="132"/>
      <c r="N18" s="162"/>
      <c r="O18" s="659"/>
      <c r="P18" s="659"/>
      <c r="R18" s="659"/>
    </row>
    <row r="19" spans="1:18" s="29" customFormat="1" ht="15" customHeight="1">
      <c r="A19" s="44"/>
      <c r="B19" s="47" t="s">
        <v>33</v>
      </c>
      <c r="C19" s="48" t="s">
        <v>34</v>
      </c>
      <c r="D19" s="34">
        <v>12105000</v>
      </c>
      <c r="E19" s="117">
        <v>0</v>
      </c>
      <c r="F19" s="132">
        <v>0</v>
      </c>
      <c r="G19" s="192">
        <v>0</v>
      </c>
      <c r="H19" s="60">
        <f t="shared" si="0"/>
        <v>0</v>
      </c>
      <c r="I19" s="192">
        <f t="shared" ref="I19:I27" si="2">G19</f>
        <v>0</v>
      </c>
      <c r="J19" s="59">
        <f t="shared" si="1"/>
        <v>0</v>
      </c>
      <c r="K19" s="409">
        <v>8.3333333333333329E-2</v>
      </c>
      <c r="L19" s="59">
        <v>0</v>
      </c>
      <c r="M19" s="132"/>
      <c r="N19" s="162"/>
      <c r="O19" s="659"/>
      <c r="P19" s="659"/>
      <c r="R19" s="659"/>
    </row>
    <row r="20" spans="1:18" s="29" customFormat="1" ht="15" customHeight="1">
      <c r="A20" s="44"/>
      <c r="B20" s="47">
        <v>10</v>
      </c>
      <c r="C20" s="48" t="s">
        <v>35</v>
      </c>
      <c r="D20" s="34">
        <v>11895000</v>
      </c>
      <c r="E20" s="117">
        <v>0</v>
      </c>
      <c r="F20" s="132">
        <v>0</v>
      </c>
      <c r="G20" s="192">
        <v>0</v>
      </c>
      <c r="H20" s="60">
        <f t="shared" si="0"/>
        <v>0</v>
      </c>
      <c r="I20" s="192">
        <f t="shared" si="2"/>
        <v>0</v>
      </c>
      <c r="J20" s="59">
        <f t="shared" si="1"/>
        <v>0</v>
      </c>
      <c r="K20" s="409">
        <v>8.3333333333333329E-2</v>
      </c>
      <c r="L20" s="59">
        <v>0</v>
      </c>
      <c r="M20" s="132"/>
      <c r="N20" s="162"/>
      <c r="O20" s="659"/>
      <c r="P20" s="659"/>
      <c r="R20" s="659"/>
    </row>
    <row r="21" spans="1:18" s="29" customFormat="1" ht="15" customHeight="1">
      <c r="A21" s="44"/>
      <c r="B21" s="47">
        <v>11</v>
      </c>
      <c r="C21" s="48" t="s">
        <v>36</v>
      </c>
      <c r="D21" s="34">
        <v>6000000</v>
      </c>
      <c r="E21" s="117">
        <v>0</v>
      </c>
      <c r="F21" s="132">
        <v>0</v>
      </c>
      <c r="G21" s="192">
        <v>0</v>
      </c>
      <c r="H21" s="60">
        <f t="shared" si="0"/>
        <v>0</v>
      </c>
      <c r="I21" s="192">
        <f t="shared" si="2"/>
        <v>0</v>
      </c>
      <c r="J21" s="59">
        <f t="shared" si="1"/>
        <v>0</v>
      </c>
      <c r="K21" s="409">
        <v>8.3333333333333329E-2</v>
      </c>
      <c r="L21" s="59">
        <v>0</v>
      </c>
      <c r="M21" s="132"/>
      <c r="N21" s="162"/>
      <c r="O21" s="659"/>
      <c r="P21" s="659"/>
      <c r="R21" s="659"/>
    </row>
    <row r="22" spans="1:18" s="29" customFormat="1" ht="15" customHeight="1">
      <c r="A22" s="44"/>
      <c r="B22" s="47">
        <v>11</v>
      </c>
      <c r="C22" s="48" t="s">
        <v>37</v>
      </c>
      <c r="D22" s="34">
        <v>18000000</v>
      </c>
      <c r="E22" s="117">
        <v>0</v>
      </c>
      <c r="F22" s="132">
        <v>0</v>
      </c>
      <c r="G22" s="192">
        <v>0</v>
      </c>
      <c r="H22" s="60">
        <f t="shared" si="0"/>
        <v>0</v>
      </c>
      <c r="I22" s="192">
        <v>0</v>
      </c>
      <c r="J22" s="59">
        <f t="shared" si="1"/>
        <v>0</v>
      </c>
      <c r="K22" s="409">
        <v>8.3333333333333329E-2</v>
      </c>
      <c r="L22" s="59">
        <v>0</v>
      </c>
      <c r="M22" s="132"/>
      <c r="N22" s="162"/>
      <c r="O22" s="659"/>
      <c r="P22" s="659"/>
      <c r="R22" s="659"/>
    </row>
    <row r="23" spans="1:18" s="29" customFormat="1" ht="15" customHeight="1">
      <c r="A23" s="44"/>
      <c r="B23" s="47">
        <v>12</v>
      </c>
      <c r="C23" s="48" t="s">
        <v>38</v>
      </c>
      <c r="D23" s="34">
        <v>5000000</v>
      </c>
      <c r="E23" s="117">
        <v>0</v>
      </c>
      <c r="F23" s="132">
        <v>0</v>
      </c>
      <c r="G23" s="192">
        <v>0</v>
      </c>
      <c r="H23" s="60">
        <f t="shared" si="0"/>
        <v>0</v>
      </c>
      <c r="I23" s="192">
        <f t="shared" si="2"/>
        <v>0</v>
      </c>
      <c r="J23" s="59">
        <f t="shared" si="1"/>
        <v>0</v>
      </c>
      <c r="K23" s="409">
        <v>8.3333333333333329E-2</v>
      </c>
      <c r="L23" s="59">
        <v>0</v>
      </c>
      <c r="M23" s="132"/>
      <c r="N23" s="162"/>
      <c r="O23" s="659"/>
      <c r="P23" s="659"/>
      <c r="R23" s="659"/>
    </row>
    <row r="24" spans="1:18" s="29" customFormat="1" ht="15" customHeight="1">
      <c r="A24" s="44"/>
      <c r="B24" s="47">
        <v>13</v>
      </c>
      <c r="C24" s="48" t="s">
        <v>39</v>
      </c>
      <c r="D24" s="34">
        <v>5000000</v>
      </c>
      <c r="E24" s="117">
        <v>0</v>
      </c>
      <c r="F24" s="132">
        <v>0</v>
      </c>
      <c r="G24" s="192">
        <v>0</v>
      </c>
      <c r="H24" s="60">
        <f t="shared" si="0"/>
        <v>0</v>
      </c>
      <c r="I24" s="192">
        <v>0</v>
      </c>
      <c r="J24" s="59">
        <f t="shared" si="1"/>
        <v>0</v>
      </c>
      <c r="K24" s="409">
        <v>8.3333333333333329E-2</v>
      </c>
      <c r="L24" s="59">
        <v>0</v>
      </c>
      <c r="M24" s="132"/>
      <c r="N24" s="162"/>
      <c r="O24" s="659"/>
      <c r="P24" s="659"/>
      <c r="R24" s="659"/>
    </row>
    <row r="25" spans="1:18" s="29" customFormat="1" ht="15" customHeight="1">
      <c r="A25" s="44"/>
      <c r="B25" s="47">
        <v>15</v>
      </c>
      <c r="C25" s="48" t="s">
        <v>40</v>
      </c>
      <c r="D25" s="34">
        <v>3000000</v>
      </c>
      <c r="E25" s="117">
        <v>0</v>
      </c>
      <c r="F25" s="132">
        <v>0</v>
      </c>
      <c r="G25" s="192">
        <v>0</v>
      </c>
      <c r="H25" s="60">
        <f t="shared" si="0"/>
        <v>0</v>
      </c>
      <c r="I25" s="192">
        <f t="shared" si="2"/>
        <v>0</v>
      </c>
      <c r="J25" s="59">
        <f t="shared" si="1"/>
        <v>0</v>
      </c>
      <c r="K25" s="409">
        <v>8.3333333333333329E-2</v>
      </c>
      <c r="L25" s="59">
        <v>0</v>
      </c>
      <c r="M25" s="132"/>
      <c r="N25" s="162"/>
      <c r="O25" s="659"/>
      <c r="P25" s="659"/>
      <c r="R25" s="659"/>
    </row>
    <row r="26" spans="1:18" s="29" customFormat="1" ht="15" customHeight="1">
      <c r="A26" s="44"/>
      <c r="B26" s="47">
        <v>17</v>
      </c>
      <c r="C26" s="48" t="s">
        <v>41</v>
      </c>
      <c r="D26" s="34">
        <v>5000000</v>
      </c>
      <c r="E26" s="117">
        <v>0</v>
      </c>
      <c r="F26" s="132">
        <v>0</v>
      </c>
      <c r="G26" s="192">
        <v>0</v>
      </c>
      <c r="H26" s="60">
        <f t="shared" si="0"/>
        <v>0</v>
      </c>
      <c r="I26" s="192">
        <v>0</v>
      </c>
      <c r="J26" s="59">
        <f t="shared" si="1"/>
        <v>0</v>
      </c>
      <c r="K26" s="409">
        <v>8.3333333333333329E-2</v>
      </c>
      <c r="L26" s="59">
        <v>0</v>
      </c>
      <c r="M26" s="132"/>
      <c r="N26" s="162"/>
      <c r="O26" s="659"/>
      <c r="P26" s="659"/>
      <c r="R26" s="659"/>
    </row>
    <row r="27" spans="1:18" s="29" customFormat="1" ht="15" customHeight="1">
      <c r="A27" s="44"/>
      <c r="B27" s="47">
        <v>17</v>
      </c>
      <c r="C27" s="48" t="s">
        <v>42</v>
      </c>
      <c r="D27" s="34">
        <v>7000000</v>
      </c>
      <c r="E27" s="117">
        <v>0</v>
      </c>
      <c r="F27" s="132">
        <v>0</v>
      </c>
      <c r="G27" s="192">
        <v>0</v>
      </c>
      <c r="H27" s="60">
        <f t="shared" si="0"/>
        <v>0</v>
      </c>
      <c r="I27" s="192">
        <f t="shared" si="2"/>
        <v>0</v>
      </c>
      <c r="J27" s="59">
        <f t="shared" si="1"/>
        <v>0</v>
      </c>
      <c r="K27" s="409">
        <v>8.3333333333333329E-2</v>
      </c>
      <c r="L27" s="59">
        <v>0</v>
      </c>
      <c r="M27" s="132"/>
      <c r="N27" s="162"/>
      <c r="O27" s="659"/>
      <c r="P27" s="659"/>
      <c r="R27" s="659"/>
    </row>
    <row r="28" spans="1:18" s="29" customFormat="1" ht="15" customHeight="1">
      <c r="A28" s="44"/>
      <c r="B28" s="47">
        <v>18</v>
      </c>
      <c r="C28" s="48" t="s">
        <v>43</v>
      </c>
      <c r="D28" s="34">
        <v>15000000</v>
      </c>
      <c r="E28" s="117">
        <v>0</v>
      </c>
      <c r="F28" s="132">
        <v>0</v>
      </c>
      <c r="G28" s="192">
        <v>0</v>
      </c>
      <c r="H28" s="60">
        <f t="shared" si="0"/>
        <v>0</v>
      </c>
      <c r="I28" s="192">
        <v>0</v>
      </c>
      <c r="J28" s="59">
        <f t="shared" si="1"/>
        <v>0</v>
      </c>
      <c r="K28" s="409">
        <v>8.3333333333333329E-2</v>
      </c>
      <c r="L28" s="59">
        <v>0</v>
      </c>
      <c r="M28" s="132"/>
      <c r="N28" s="162"/>
      <c r="O28" s="659"/>
      <c r="P28" s="659"/>
      <c r="R28" s="659"/>
    </row>
    <row r="29" spans="1:18" s="29" customFormat="1" ht="15" customHeight="1" thickBot="1">
      <c r="A29" s="44"/>
      <c r="B29" s="49">
        <v>19</v>
      </c>
      <c r="C29" s="50" t="s">
        <v>44</v>
      </c>
      <c r="D29" s="51">
        <v>51212000</v>
      </c>
      <c r="E29" s="118">
        <v>0</v>
      </c>
      <c r="F29" s="133">
        <v>0</v>
      </c>
      <c r="G29" s="192">
        <v>0</v>
      </c>
      <c r="H29" s="62">
        <f t="shared" si="0"/>
        <v>0</v>
      </c>
      <c r="I29" s="193">
        <v>0</v>
      </c>
      <c r="J29" s="153">
        <f t="shared" ref="J29" si="3">I29/D29*100</f>
        <v>0</v>
      </c>
      <c r="K29" s="409">
        <v>8.3333333333333329E-2</v>
      </c>
      <c r="L29" s="153">
        <v>0</v>
      </c>
      <c r="M29" s="133"/>
      <c r="N29" s="162"/>
      <c r="O29" s="659"/>
      <c r="P29" s="659"/>
      <c r="R29" s="659"/>
    </row>
    <row r="30" spans="1:18" s="29" customFormat="1" ht="15" customHeight="1" thickBot="1">
      <c r="A30" s="35"/>
      <c r="B30" s="52"/>
      <c r="C30" s="37" t="s">
        <v>45</v>
      </c>
      <c r="D30" s="53">
        <f>SUM(D15:D29)</f>
        <v>170212000</v>
      </c>
      <c r="E30" s="53">
        <f t="shared" ref="E30:I30" si="4">SUM(E15:E29)</f>
        <v>0</v>
      </c>
      <c r="F30" s="53">
        <f t="shared" si="4"/>
        <v>0</v>
      </c>
      <c r="G30" s="53">
        <f t="shared" si="4"/>
        <v>0</v>
      </c>
      <c r="H30" s="53">
        <f t="shared" si="4"/>
        <v>0</v>
      </c>
      <c r="I30" s="194">
        <f t="shared" si="4"/>
        <v>0</v>
      </c>
      <c r="J30" s="53">
        <f>I30/D30*100</f>
        <v>0</v>
      </c>
      <c r="K30" s="53">
        <f t="shared" ref="K30:L30" si="5">SUM(K15:K29)</f>
        <v>1.2499999999999998</v>
      </c>
      <c r="L30" s="53">
        <f t="shared" si="5"/>
        <v>0</v>
      </c>
      <c r="M30" s="53"/>
      <c r="N30" s="162"/>
      <c r="O30" s="659"/>
      <c r="P30" s="659"/>
      <c r="R30" s="659"/>
    </row>
    <row r="31" spans="1:18" s="29" customFormat="1" ht="15" customHeight="1">
      <c r="A31" s="54" t="s">
        <v>29</v>
      </c>
      <c r="B31" s="55" t="s">
        <v>90</v>
      </c>
      <c r="C31" s="56"/>
      <c r="D31" s="57"/>
      <c r="E31" s="119"/>
      <c r="F31" s="131"/>
      <c r="G31" s="152"/>
      <c r="H31" s="152"/>
      <c r="I31" s="119"/>
      <c r="J31" s="152"/>
      <c r="K31" s="152"/>
      <c r="L31" s="152"/>
      <c r="M31" s="131"/>
      <c r="N31" s="162"/>
      <c r="O31" s="659"/>
      <c r="P31" s="659"/>
      <c r="R31" s="659"/>
    </row>
    <row r="32" spans="1:18" s="281" customFormat="1" ht="15" customHeight="1">
      <c r="A32" s="279"/>
      <c r="B32" s="47" t="s">
        <v>53</v>
      </c>
      <c r="C32" s="46" t="s">
        <v>216</v>
      </c>
      <c r="D32" s="80">
        <v>40000000</v>
      </c>
      <c r="E32" s="119"/>
      <c r="F32" s="131"/>
      <c r="G32" s="152"/>
      <c r="H32" s="152"/>
      <c r="I32" s="119"/>
      <c r="J32" s="152"/>
      <c r="K32" s="152"/>
      <c r="L32" s="152"/>
      <c r="M32" s="131"/>
      <c r="N32" s="280"/>
      <c r="O32" s="659"/>
      <c r="P32" s="659"/>
      <c r="R32" s="659"/>
    </row>
    <row r="33" spans="1:18" s="29" customFormat="1" ht="15" customHeight="1">
      <c r="A33" s="44"/>
      <c r="B33" s="47" t="s">
        <v>46</v>
      </c>
      <c r="C33" s="58" t="s">
        <v>110</v>
      </c>
      <c r="D33" s="59">
        <v>20000000</v>
      </c>
      <c r="E33" s="120">
        <v>0</v>
      </c>
      <c r="F33" s="132">
        <v>0</v>
      </c>
      <c r="G33" s="119" t="s">
        <v>132</v>
      </c>
      <c r="H33" s="59" t="s">
        <v>132</v>
      </c>
      <c r="I33" s="119" t="str">
        <f>G33</f>
        <v>-</v>
      </c>
      <c r="J33" s="59" t="s">
        <v>132</v>
      </c>
      <c r="K33" s="59">
        <v>0</v>
      </c>
      <c r="L33" s="59">
        <v>0</v>
      </c>
      <c r="M33" s="132"/>
      <c r="N33" s="162"/>
      <c r="O33" s="659"/>
      <c r="P33" s="659"/>
      <c r="R33" s="659"/>
    </row>
    <row r="34" spans="1:18" s="29" customFormat="1" ht="15" customHeight="1">
      <c r="A34" s="44"/>
      <c r="B34" s="47">
        <v>21</v>
      </c>
      <c r="C34" s="48" t="s">
        <v>47</v>
      </c>
      <c r="D34" s="59">
        <v>30000000</v>
      </c>
      <c r="E34" s="120">
        <v>0</v>
      </c>
      <c r="F34" s="132">
        <v>0</v>
      </c>
      <c r="G34" s="206" t="s">
        <v>132</v>
      </c>
      <c r="H34" s="59" t="s">
        <v>132</v>
      </c>
      <c r="I34" s="119" t="str">
        <f t="shared" ref="I34:I35" si="6">G34</f>
        <v>-</v>
      </c>
      <c r="J34" s="59" t="s">
        <v>132</v>
      </c>
      <c r="K34" s="59">
        <v>0</v>
      </c>
      <c r="L34" s="59">
        <v>0</v>
      </c>
      <c r="M34" s="132"/>
      <c r="N34" s="162"/>
      <c r="O34" s="659"/>
      <c r="P34" s="659"/>
      <c r="R34" s="659"/>
    </row>
    <row r="35" spans="1:18" s="29" customFormat="1" ht="15" customHeight="1">
      <c r="A35" s="44"/>
      <c r="B35" s="47">
        <v>22</v>
      </c>
      <c r="C35" s="48" t="s">
        <v>48</v>
      </c>
      <c r="D35" s="60">
        <v>30000000</v>
      </c>
      <c r="E35" s="120">
        <v>0</v>
      </c>
      <c r="F35" s="132">
        <v>0</v>
      </c>
      <c r="G35" s="206" t="s">
        <v>132</v>
      </c>
      <c r="H35" s="59" t="s">
        <v>132</v>
      </c>
      <c r="I35" s="119" t="str">
        <f t="shared" si="6"/>
        <v>-</v>
      </c>
      <c r="J35" s="59" t="s">
        <v>132</v>
      </c>
      <c r="K35" s="59">
        <v>0</v>
      </c>
      <c r="L35" s="59">
        <v>0</v>
      </c>
      <c r="M35" s="154"/>
      <c r="N35" s="162"/>
      <c r="O35" s="659"/>
      <c r="P35" s="659"/>
      <c r="R35" s="659"/>
    </row>
    <row r="36" spans="1:18" s="29" customFormat="1" ht="15" customHeight="1">
      <c r="A36" s="44"/>
      <c r="B36" s="47">
        <v>24</v>
      </c>
      <c r="C36" s="48" t="s">
        <v>49</v>
      </c>
      <c r="D36" s="60">
        <v>35000000</v>
      </c>
      <c r="E36" s="120">
        <v>0</v>
      </c>
      <c r="F36" s="132">
        <v>0</v>
      </c>
      <c r="G36" s="206" t="s">
        <v>132</v>
      </c>
      <c r="H36" s="59" t="s">
        <v>132</v>
      </c>
      <c r="I36" s="119" t="s">
        <v>132</v>
      </c>
      <c r="J36" s="59" t="s">
        <v>132</v>
      </c>
      <c r="K36" s="59">
        <v>0</v>
      </c>
      <c r="L36" s="59">
        <v>0</v>
      </c>
      <c r="M36" s="132"/>
      <c r="N36" s="162"/>
      <c r="O36" s="659"/>
      <c r="P36" s="659"/>
      <c r="R36" s="659"/>
    </row>
    <row r="37" spans="1:18" s="29" customFormat="1" ht="15" customHeight="1">
      <c r="A37" s="44"/>
      <c r="B37" s="47">
        <v>26</v>
      </c>
      <c r="C37" s="48" t="s">
        <v>50</v>
      </c>
      <c r="D37" s="60">
        <v>4000000</v>
      </c>
      <c r="E37" s="120">
        <v>0</v>
      </c>
      <c r="F37" s="132">
        <v>0</v>
      </c>
      <c r="G37" s="206" t="s">
        <v>132</v>
      </c>
      <c r="H37" s="59" t="s">
        <v>132</v>
      </c>
      <c r="I37" s="119" t="s">
        <v>132</v>
      </c>
      <c r="J37" s="59" t="s">
        <v>132</v>
      </c>
      <c r="K37" s="59">
        <v>0</v>
      </c>
      <c r="L37" s="59">
        <v>0</v>
      </c>
      <c r="M37" s="132"/>
      <c r="N37" s="162"/>
      <c r="O37" s="659"/>
      <c r="P37" s="659"/>
      <c r="R37" s="659"/>
    </row>
    <row r="38" spans="1:18" s="29" customFormat="1" ht="15" customHeight="1">
      <c r="A38" s="44"/>
      <c r="B38" s="47">
        <v>28</v>
      </c>
      <c r="C38" s="48" t="s">
        <v>51</v>
      </c>
      <c r="D38" s="60">
        <v>12000000</v>
      </c>
      <c r="E38" s="120">
        <v>0</v>
      </c>
      <c r="F38" s="132">
        <v>0</v>
      </c>
      <c r="G38" s="206" t="s">
        <v>132</v>
      </c>
      <c r="H38" s="59" t="s">
        <v>132</v>
      </c>
      <c r="I38" s="119" t="s">
        <v>132</v>
      </c>
      <c r="J38" s="59" t="s">
        <v>132</v>
      </c>
      <c r="K38" s="59">
        <v>0</v>
      </c>
      <c r="L38" s="59">
        <v>0</v>
      </c>
      <c r="M38" s="132"/>
      <c r="N38" s="162"/>
      <c r="O38" s="659"/>
      <c r="P38" s="659"/>
      <c r="R38" s="659"/>
    </row>
    <row r="39" spans="1:18" s="29" customFormat="1" ht="15" customHeight="1">
      <c r="A39" s="44"/>
      <c r="B39" s="61">
        <v>29</v>
      </c>
      <c r="C39" s="50" t="s">
        <v>52</v>
      </c>
      <c r="D39" s="62">
        <v>2000000</v>
      </c>
      <c r="E39" s="121">
        <v>0</v>
      </c>
      <c r="F39" s="133">
        <v>0</v>
      </c>
      <c r="G39" s="206" t="s">
        <v>132</v>
      </c>
      <c r="H39" s="59" t="s">
        <v>132</v>
      </c>
      <c r="I39" s="119" t="s">
        <v>132</v>
      </c>
      <c r="J39" s="59" t="s">
        <v>132</v>
      </c>
      <c r="K39" s="153">
        <v>0</v>
      </c>
      <c r="L39" s="153">
        <v>0</v>
      </c>
      <c r="M39" s="133"/>
      <c r="N39" s="162"/>
      <c r="O39" s="659"/>
      <c r="P39" s="659"/>
      <c r="R39" s="659"/>
    </row>
    <row r="40" spans="1:18" s="29" customFormat="1" ht="15" customHeight="1">
      <c r="A40" s="63"/>
      <c r="B40" s="64"/>
      <c r="C40" s="65" t="s">
        <v>45</v>
      </c>
      <c r="D40" s="66">
        <f>SUM(D32:D39)</f>
        <v>173000000</v>
      </c>
      <c r="E40" s="122"/>
      <c r="F40" s="66"/>
      <c r="G40" s="195" t="s">
        <v>132</v>
      </c>
      <c r="H40" s="66" t="s">
        <v>132</v>
      </c>
      <c r="I40" s="195" t="s">
        <v>132</v>
      </c>
      <c r="J40" s="155" t="s">
        <v>132</v>
      </c>
      <c r="K40" s="66">
        <v>0</v>
      </c>
      <c r="L40" s="66">
        <v>0</v>
      </c>
      <c r="M40" s="66"/>
      <c r="N40" s="162"/>
      <c r="O40" s="659"/>
      <c r="P40" s="659"/>
      <c r="R40" s="659"/>
    </row>
    <row r="41" spans="1:18" s="29" customFormat="1" ht="16.5" customHeight="1">
      <c r="A41" s="67" t="s">
        <v>53</v>
      </c>
      <c r="B41" s="68" t="s">
        <v>54</v>
      </c>
      <c r="C41" s="69"/>
      <c r="D41" s="70"/>
      <c r="E41" s="123"/>
      <c r="F41" s="134"/>
      <c r="G41" s="196"/>
      <c r="H41" s="144"/>
      <c r="I41" s="196"/>
      <c r="J41" s="156"/>
      <c r="K41" s="156"/>
      <c r="L41" s="156"/>
      <c r="M41" s="134"/>
      <c r="N41" s="162"/>
      <c r="O41" s="659"/>
      <c r="P41" s="659"/>
      <c r="R41" s="659"/>
    </row>
    <row r="42" spans="1:18" s="29" customFormat="1" ht="16.5" customHeight="1">
      <c r="A42" s="44"/>
      <c r="B42" s="47" t="s">
        <v>26</v>
      </c>
      <c r="C42" s="48" t="s">
        <v>55</v>
      </c>
      <c r="D42" s="60">
        <v>25000000</v>
      </c>
      <c r="E42" s="120">
        <v>0</v>
      </c>
      <c r="F42" s="208">
        <v>0</v>
      </c>
      <c r="G42" s="197" t="s">
        <v>132</v>
      </c>
      <c r="H42" s="59" t="s">
        <v>132</v>
      </c>
      <c r="I42" s="197" t="s">
        <v>132</v>
      </c>
      <c r="J42" s="59" t="s">
        <v>132</v>
      </c>
      <c r="K42" s="59">
        <v>0</v>
      </c>
      <c r="L42" s="59">
        <v>0</v>
      </c>
      <c r="M42" s="132"/>
      <c r="N42" s="162"/>
      <c r="O42" s="659"/>
      <c r="P42" s="659"/>
      <c r="R42" s="659"/>
    </row>
    <row r="43" spans="1:18" s="29" customFormat="1" ht="16.5" customHeight="1">
      <c r="A43" s="63"/>
      <c r="B43" s="71"/>
      <c r="C43" s="65" t="s">
        <v>45</v>
      </c>
      <c r="D43" s="66">
        <f>SUM(D42:D42)</f>
        <v>25000000</v>
      </c>
      <c r="E43" s="122">
        <f>SUM(E42:E42)</f>
        <v>0</v>
      </c>
      <c r="F43" s="202">
        <f>SUM(F42:F42)</f>
        <v>0</v>
      </c>
      <c r="G43" s="122" t="s">
        <v>132</v>
      </c>
      <c r="H43" s="66" t="s">
        <v>132</v>
      </c>
      <c r="I43" s="122" t="s">
        <v>132</v>
      </c>
      <c r="J43" s="155" t="s">
        <v>132</v>
      </c>
      <c r="K43" s="66">
        <f>SUM(K42:K42)</f>
        <v>0</v>
      </c>
      <c r="L43" s="66">
        <f>SUM(L42:L42)</f>
        <v>0</v>
      </c>
      <c r="M43" s="66"/>
      <c r="N43" s="162"/>
      <c r="O43" s="659"/>
      <c r="P43" s="659"/>
      <c r="R43" s="659"/>
    </row>
    <row r="44" spans="1:18" s="29" customFormat="1" ht="16.5" customHeight="1">
      <c r="A44" s="44">
        <v>15</v>
      </c>
      <c r="B44" s="72" t="s">
        <v>61</v>
      </c>
      <c r="C44" s="73"/>
      <c r="D44" s="57"/>
      <c r="E44" s="119"/>
      <c r="F44" s="209"/>
      <c r="G44" s="119" t="s">
        <v>132</v>
      </c>
      <c r="H44" s="152" t="s">
        <v>132</v>
      </c>
      <c r="I44" s="119" t="s">
        <v>132</v>
      </c>
      <c r="J44" s="152" t="s">
        <v>132</v>
      </c>
      <c r="K44" s="152"/>
      <c r="L44" s="152"/>
      <c r="M44" s="131"/>
      <c r="N44" s="162"/>
      <c r="O44" s="659"/>
      <c r="P44" s="659"/>
      <c r="R44" s="659"/>
    </row>
    <row r="45" spans="1:18" s="29" customFormat="1" ht="16.5" customHeight="1">
      <c r="A45" s="44"/>
      <c r="B45" s="47">
        <v>18</v>
      </c>
      <c r="C45" s="48" t="s">
        <v>62</v>
      </c>
      <c r="D45" s="60">
        <v>5000000</v>
      </c>
      <c r="E45" s="120">
        <v>0</v>
      </c>
      <c r="F45" s="208">
        <v>0</v>
      </c>
      <c r="G45" s="120" t="s">
        <v>132</v>
      </c>
      <c r="H45" s="59" t="s">
        <v>132</v>
      </c>
      <c r="I45" s="120" t="s">
        <v>132</v>
      </c>
      <c r="J45" s="59" t="s">
        <v>132</v>
      </c>
      <c r="K45" s="59">
        <v>0</v>
      </c>
      <c r="L45" s="59">
        <v>0</v>
      </c>
      <c r="M45" s="132"/>
      <c r="N45" s="162"/>
      <c r="O45" s="659"/>
      <c r="P45" s="659"/>
      <c r="R45" s="659"/>
    </row>
    <row r="46" spans="1:18" s="29" customFormat="1" ht="16.5" customHeight="1">
      <c r="A46" s="44"/>
      <c r="B46" s="49">
        <v>63</v>
      </c>
      <c r="C46" s="74" t="s">
        <v>63</v>
      </c>
      <c r="D46" s="62">
        <v>5000000</v>
      </c>
      <c r="E46" s="121">
        <v>0</v>
      </c>
      <c r="F46" s="210">
        <v>0</v>
      </c>
      <c r="G46" s="121" t="s">
        <v>132</v>
      </c>
      <c r="H46" s="153" t="s">
        <v>132</v>
      </c>
      <c r="I46" s="121" t="s">
        <v>132</v>
      </c>
      <c r="J46" s="153" t="s">
        <v>132</v>
      </c>
      <c r="K46" s="153">
        <v>0</v>
      </c>
      <c r="L46" s="153">
        <v>0</v>
      </c>
      <c r="M46" s="133"/>
      <c r="N46" s="162"/>
      <c r="O46" s="659"/>
      <c r="P46" s="659"/>
      <c r="R46" s="659"/>
    </row>
    <row r="47" spans="1:18" s="29" customFormat="1" ht="16.5" customHeight="1">
      <c r="A47" s="63"/>
      <c r="B47" s="64"/>
      <c r="C47" s="65" t="s">
        <v>45</v>
      </c>
      <c r="D47" s="66">
        <f>SUM(D45:D46)</f>
        <v>10000000</v>
      </c>
      <c r="E47" s="122">
        <f t="shared" ref="E47:L47" si="7">SUM(E45:E46)</f>
        <v>0</v>
      </c>
      <c r="F47" s="202">
        <f>SUM(F45:F46)</f>
        <v>0</v>
      </c>
      <c r="G47" s="195" t="s">
        <v>132</v>
      </c>
      <c r="H47" s="66" t="s">
        <v>132</v>
      </c>
      <c r="I47" s="195" t="s">
        <v>132</v>
      </c>
      <c r="J47" s="155" t="s">
        <v>132</v>
      </c>
      <c r="K47" s="66">
        <f t="shared" si="7"/>
        <v>0</v>
      </c>
      <c r="L47" s="66">
        <f t="shared" si="7"/>
        <v>0</v>
      </c>
      <c r="M47" s="66"/>
      <c r="N47" s="162"/>
      <c r="O47" s="659"/>
      <c r="P47" s="659"/>
      <c r="R47" s="659"/>
    </row>
    <row r="48" spans="1:18" s="29" customFormat="1" ht="16.5" customHeight="1">
      <c r="A48" s="44">
        <v>30</v>
      </c>
      <c r="B48" s="77" t="s">
        <v>64</v>
      </c>
      <c r="C48" s="78"/>
      <c r="D48" s="57"/>
      <c r="E48" s="119"/>
      <c r="F48" s="209"/>
      <c r="G48" s="119"/>
      <c r="H48" s="152"/>
      <c r="I48" s="119"/>
      <c r="J48" s="152"/>
      <c r="K48" s="152"/>
      <c r="L48" s="152"/>
      <c r="M48" s="131"/>
      <c r="N48" s="162"/>
      <c r="O48" s="659"/>
      <c r="P48" s="659"/>
      <c r="R48" s="659"/>
    </row>
    <row r="49" spans="1:18" s="29" customFormat="1" ht="16.5" customHeight="1">
      <c r="A49" s="44"/>
      <c r="B49" s="45">
        <v>2</v>
      </c>
      <c r="C49" s="79" t="s">
        <v>102</v>
      </c>
      <c r="D49" s="80">
        <v>200000000</v>
      </c>
      <c r="E49" s="124">
        <v>0</v>
      </c>
      <c r="F49" s="209">
        <v>0</v>
      </c>
      <c r="G49" s="124">
        <v>0</v>
      </c>
      <c r="H49" s="152">
        <v>0</v>
      </c>
      <c r="I49" s="120" t="s">
        <v>132</v>
      </c>
      <c r="J49" s="152" t="s">
        <v>132</v>
      </c>
      <c r="K49" s="152">
        <v>0</v>
      </c>
      <c r="L49" s="152"/>
      <c r="M49" s="131"/>
      <c r="N49" s="162"/>
      <c r="O49" s="659"/>
      <c r="P49" s="659"/>
      <c r="R49" s="659"/>
    </row>
    <row r="50" spans="1:18" s="29" customFormat="1" ht="16.5" customHeight="1">
      <c r="A50" s="63"/>
      <c r="B50" s="64"/>
      <c r="C50" s="65" t="s">
        <v>45</v>
      </c>
      <c r="D50" s="66">
        <f>SUM(D48:D49)</f>
        <v>200000000</v>
      </c>
      <c r="E50" s="66">
        <f>SUM(E48:E49)</f>
        <v>0</v>
      </c>
      <c r="F50" s="202">
        <f>SUM(F48:F49)</f>
        <v>0</v>
      </c>
      <c r="G50" s="122" t="s">
        <v>132</v>
      </c>
      <c r="H50" s="66" t="s">
        <v>132</v>
      </c>
      <c r="I50" s="122" t="s">
        <v>132</v>
      </c>
      <c r="J50" s="66" t="s">
        <v>132</v>
      </c>
      <c r="K50" s="66">
        <f>SUM(K48:K49)</f>
        <v>0</v>
      </c>
      <c r="L50" s="66">
        <f t="shared" ref="L50" si="8">SUM(L48:L49)</f>
        <v>0</v>
      </c>
      <c r="M50" s="66"/>
      <c r="N50" s="162"/>
      <c r="O50" s="659"/>
      <c r="P50" s="659"/>
      <c r="R50" s="659"/>
    </row>
    <row r="51" spans="1:18" s="29" customFormat="1" ht="16.5" customHeight="1">
      <c r="A51" s="44">
        <v>21</v>
      </c>
      <c r="B51" s="81" t="s">
        <v>65</v>
      </c>
      <c r="C51" s="82"/>
      <c r="D51" s="57"/>
      <c r="E51" s="119"/>
      <c r="F51" s="209"/>
      <c r="G51" s="119"/>
      <c r="H51" s="152"/>
      <c r="I51" s="119"/>
      <c r="J51" s="152"/>
      <c r="K51" s="152"/>
      <c r="L51" s="152"/>
      <c r="M51" s="131"/>
      <c r="N51" s="162"/>
      <c r="O51" s="659"/>
      <c r="P51" s="659"/>
      <c r="R51" s="659"/>
    </row>
    <row r="52" spans="1:18" s="29" customFormat="1" ht="16.5" customHeight="1">
      <c r="A52" s="44"/>
      <c r="B52" s="47" t="s">
        <v>46</v>
      </c>
      <c r="C52" s="48" t="s">
        <v>66</v>
      </c>
      <c r="D52" s="60">
        <v>20000000</v>
      </c>
      <c r="E52" s="125">
        <v>0</v>
      </c>
      <c r="F52" s="211">
        <v>0</v>
      </c>
      <c r="G52" s="199" t="s">
        <v>132</v>
      </c>
      <c r="H52" s="59" t="s">
        <v>132</v>
      </c>
      <c r="I52" s="197" t="s">
        <v>132</v>
      </c>
      <c r="J52" s="59" t="s">
        <v>132</v>
      </c>
      <c r="K52" s="59">
        <v>0</v>
      </c>
      <c r="L52" s="59">
        <v>0</v>
      </c>
      <c r="M52" s="132"/>
      <c r="N52" s="162"/>
      <c r="O52" s="659"/>
      <c r="P52" s="659"/>
      <c r="R52" s="659"/>
    </row>
    <row r="53" spans="1:18" s="29" customFormat="1" ht="16.5" customHeight="1">
      <c r="A53" s="63"/>
      <c r="B53" s="83"/>
      <c r="C53" s="65" t="s">
        <v>45</v>
      </c>
      <c r="D53" s="66">
        <f>SUM(D52:D52)</f>
        <v>20000000</v>
      </c>
      <c r="E53" s="66">
        <f t="shared" ref="E53" si="9">SUM(E50:E52)</f>
        <v>0</v>
      </c>
      <c r="F53" s="202">
        <f t="shared" ref="F53" si="10">SUM(F50:F52)</f>
        <v>0</v>
      </c>
      <c r="G53" s="122" t="s">
        <v>132</v>
      </c>
      <c r="H53" s="66" t="s">
        <v>132</v>
      </c>
      <c r="I53" s="122" t="s">
        <v>132</v>
      </c>
      <c r="J53" s="66" t="s">
        <v>132</v>
      </c>
      <c r="K53" s="66">
        <f t="shared" ref="K53" si="11">SUM(K50:K52)</f>
        <v>0</v>
      </c>
      <c r="L53" s="66">
        <f t="shared" ref="L53" si="12">SUM(L50:L52)</f>
        <v>0</v>
      </c>
      <c r="M53" s="66"/>
      <c r="N53" s="162"/>
      <c r="O53" s="659"/>
      <c r="P53" s="659"/>
      <c r="R53" s="659"/>
    </row>
    <row r="54" spans="1:18" s="29" customFormat="1" ht="16.5" customHeight="1">
      <c r="A54" s="84">
        <v>18</v>
      </c>
      <c r="B54" s="826" t="s">
        <v>96</v>
      </c>
      <c r="C54" s="827"/>
      <c r="D54" s="57"/>
      <c r="E54" s="119"/>
      <c r="F54" s="209"/>
      <c r="G54" s="119"/>
      <c r="H54" s="152"/>
      <c r="I54" s="119"/>
      <c r="J54" s="152"/>
      <c r="K54" s="152"/>
      <c r="L54" s="152"/>
      <c r="M54" s="131"/>
      <c r="N54" s="162"/>
      <c r="O54" s="659"/>
      <c r="P54" s="659"/>
      <c r="R54" s="659"/>
    </row>
    <row r="55" spans="1:18" s="29" customFormat="1" ht="16.5" customHeight="1">
      <c r="A55" s="84"/>
      <c r="B55" s="830" t="s">
        <v>95</v>
      </c>
      <c r="C55" s="831"/>
      <c r="D55" s="57"/>
      <c r="E55" s="124"/>
      <c r="F55" s="209"/>
      <c r="G55" s="119"/>
      <c r="H55" s="152"/>
      <c r="I55" s="119"/>
      <c r="J55" s="152"/>
      <c r="K55" s="152"/>
      <c r="L55" s="152"/>
      <c r="M55" s="131"/>
      <c r="N55" s="162"/>
      <c r="O55" s="659"/>
      <c r="P55" s="659"/>
      <c r="R55" s="659"/>
    </row>
    <row r="56" spans="1:18" s="29" customFormat="1" ht="16.5" customHeight="1">
      <c r="A56" s="44"/>
      <c r="B56" s="47" t="s">
        <v>26</v>
      </c>
      <c r="C56" s="48" t="s">
        <v>67</v>
      </c>
      <c r="D56" s="60">
        <v>20000000</v>
      </c>
      <c r="E56" s="125">
        <v>0</v>
      </c>
      <c r="F56" s="211">
        <v>0</v>
      </c>
      <c r="G56" s="199" t="s">
        <v>132</v>
      </c>
      <c r="H56" s="59" t="s">
        <v>132</v>
      </c>
      <c r="I56" s="119" t="str">
        <f t="shared" ref="I56" si="13">G56</f>
        <v>-</v>
      </c>
      <c r="J56" s="59" t="s">
        <v>132</v>
      </c>
      <c r="K56" s="59">
        <v>0</v>
      </c>
      <c r="L56" s="59">
        <v>0</v>
      </c>
      <c r="M56" s="132"/>
      <c r="N56" s="162"/>
      <c r="O56" s="659"/>
      <c r="P56" s="659"/>
      <c r="R56" s="659"/>
    </row>
    <row r="57" spans="1:18" s="29" customFormat="1" ht="16.5" customHeight="1">
      <c r="A57" s="44"/>
      <c r="B57" s="47" t="s">
        <v>29</v>
      </c>
      <c r="C57" s="204" t="s">
        <v>220</v>
      </c>
      <c r="D57" s="179">
        <v>7000000</v>
      </c>
      <c r="E57" s="180">
        <v>0</v>
      </c>
      <c r="F57" s="181">
        <v>0</v>
      </c>
      <c r="G57" s="207" t="s">
        <v>132</v>
      </c>
      <c r="H57" s="148" t="s">
        <v>132</v>
      </c>
      <c r="I57" s="119" t="s">
        <v>132</v>
      </c>
      <c r="J57" s="148" t="s">
        <v>132</v>
      </c>
      <c r="K57" s="148">
        <v>0</v>
      </c>
      <c r="L57" s="148">
        <v>0</v>
      </c>
      <c r="M57" s="165"/>
      <c r="N57" s="162"/>
      <c r="O57" s="659"/>
      <c r="P57" s="659"/>
      <c r="R57" s="659"/>
    </row>
    <row r="58" spans="1:18" s="29" customFormat="1" ht="16.5" customHeight="1">
      <c r="A58" s="44"/>
      <c r="B58" s="47"/>
      <c r="C58" s="48" t="s">
        <v>117</v>
      </c>
      <c r="D58" s="60"/>
      <c r="E58" s="125"/>
      <c r="F58" s="135"/>
      <c r="G58" s="199"/>
      <c r="H58" s="59"/>
      <c r="I58" s="197"/>
      <c r="J58" s="59"/>
      <c r="K58" s="59"/>
      <c r="L58" s="59"/>
      <c r="M58" s="132"/>
      <c r="N58" s="162"/>
      <c r="O58" s="659"/>
      <c r="P58" s="659"/>
      <c r="R58" s="659"/>
    </row>
    <row r="59" spans="1:18" s="29" customFormat="1" ht="16.5" customHeight="1">
      <c r="A59" s="63"/>
      <c r="B59" s="71"/>
      <c r="C59" s="65" t="s">
        <v>45</v>
      </c>
      <c r="D59" s="66">
        <f>SUM(D56:D58)</f>
        <v>27000000</v>
      </c>
      <c r="E59" s="66">
        <f t="shared" ref="E59:L59" si="14">SUM(E56:E56)</f>
        <v>0</v>
      </c>
      <c r="F59" s="66">
        <f>SUM(F56:F56)</f>
        <v>0</v>
      </c>
      <c r="G59" s="122" t="s">
        <v>132</v>
      </c>
      <c r="H59" s="66" t="s">
        <v>132</v>
      </c>
      <c r="I59" s="122" t="s">
        <v>132</v>
      </c>
      <c r="J59" s="66" t="s">
        <v>132</v>
      </c>
      <c r="K59" s="66">
        <f t="shared" si="14"/>
        <v>0</v>
      </c>
      <c r="L59" s="66">
        <f t="shared" si="14"/>
        <v>0</v>
      </c>
      <c r="M59" s="66"/>
      <c r="N59" s="162"/>
      <c r="O59" s="659"/>
      <c r="P59" s="659"/>
      <c r="R59" s="659"/>
    </row>
    <row r="60" spans="1:18" s="29" customFormat="1" ht="16.5" customHeight="1">
      <c r="A60" s="84">
        <v>17</v>
      </c>
      <c r="B60" s="826" t="s">
        <v>130</v>
      </c>
      <c r="C60" s="827"/>
      <c r="D60" s="57"/>
      <c r="E60" s="119"/>
      <c r="F60" s="131"/>
      <c r="G60" s="119"/>
      <c r="H60" s="152"/>
      <c r="I60" s="119"/>
      <c r="J60" s="152"/>
      <c r="K60" s="152"/>
      <c r="L60" s="152"/>
      <c r="M60" s="131"/>
      <c r="N60" s="162"/>
      <c r="O60" s="659"/>
      <c r="P60" s="659"/>
      <c r="R60" s="659"/>
    </row>
    <row r="61" spans="1:18" s="29" customFormat="1" ht="16.5" customHeight="1">
      <c r="A61" s="44"/>
      <c r="B61" s="47" t="s">
        <v>53</v>
      </c>
      <c r="C61" s="48" t="s">
        <v>131</v>
      </c>
      <c r="D61" s="60">
        <v>24000000</v>
      </c>
      <c r="E61" s="125">
        <v>0</v>
      </c>
      <c r="F61" s="135">
        <v>0</v>
      </c>
      <c r="G61" s="197" t="s">
        <v>132</v>
      </c>
      <c r="H61" s="59" t="s">
        <v>132</v>
      </c>
      <c r="I61" s="197" t="s">
        <v>132</v>
      </c>
      <c r="J61" s="59" t="s">
        <v>132</v>
      </c>
      <c r="K61" s="59">
        <v>0</v>
      </c>
      <c r="L61" s="59">
        <v>0</v>
      </c>
      <c r="M61" s="132"/>
      <c r="N61" s="162"/>
      <c r="O61" s="659"/>
      <c r="P61" s="659"/>
      <c r="R61" s="659"/>
    </row>
    <row r="62" spans="1:18" s="29" customFormat="1" ht="16.5" customHeight="1">
      <c r="A62" s="63"/>
      <c r="B62" s="64"/>
      <c r="C62" s="65" t="s">
        <v>45</v>
      </c>
      <c r="D62" s="66">
        <f>SUM(D61:D61)</f>
        <v>24000000</v>
      </c>
      <c r="E62" s="66">
        <f t="shared" ref="E62:L62" si="15">SUM(E60:E61)</f>
        <v>0</v>
      </c>
      <c r="F62" s="66">
        <f t="shared" si="15"/>
        <v>0</v>
      </c>
      <c r="G62" s="122" t="s">
        <v>132</v>
      </c>
      <c r="H62" s="66" t="s">
        <v>132</v>
      </c>
      <c r="I62" s="122" t="s">
        <v>132</v>
      </c>
      <c r="J62" s="66" t="s">
        <v>132</v>
      </c>
      <c r="K62" s="66">
        <f t="shared" si="15"/>
        <v>0</v>
      </c>
      <c r="L62" s="66">
        <f t="shared" si="15"/>
        <v>0</v>
      </c>
      <c r="M62" s="66"/>
      <c r="N62" s="162"/>
      <c r="O62" s="659"/>
      <c r="P62" s="659"/>
      <c r="R62" s="659"/>
    </row>
    <row r="63" spans="1:18" s="29" customFormat="1" ht="16.5" customHeight="1">
      <c r="A63" s="44">
        <v>15</v>
      </c>
      <c r="B63" s="85" t="s">
        <v>68</v>
      </c>
      <c r="C63" s="86"/>
      <c r="D63" s="57"/>
      <c r="E63" s="119"/>
      <c r="F63" s="131"/>
      <c r="G63" s="119"/>
      <c r="H63" s="152"/>
      <c r="I63" s="119"/>
      <c r="J63" s="152"/>
      <c r="K63" s="152"/>
      <c r="L63" s="152"/>
      <c r="M63" s="131"/>
      <c r="N63" s="162"/>
      <c r="O63" s="659"/>
      <c r="P63" s="659"/>
      <c r="R63" s="659"/>
    </row>
    <row r="64" spans="1:18" s="29" customFormat="1" ht="16.5" customHeight="1">
      <c r="A64" s="44"/>
      <c r="B64" s="49" t="s">
        <v>80</v>
      </c>
      <c r="C64" s="50" t="s">
        <v>118</v>
      </c>
      <c r="D64" s="62">
        <v>10000000</v>
      </c>
      <c r="E64" s="125">
        <v>0</v>
      </c>
      <c r="F64" s="135">
        <v>0</v>
      </c>
      <c r="G64" s="119" t="s">
        <v>132</v>
      </c>
      <c r="H64" s="59" t="s">
        <v>132</v>
      </c>
      <c r="I64" s="119" t="s">
        <v>132</v>
      </c>
      <c r="J64" s="59" t="s">
        <v>132</v>
      </c>
      <c r="K64" s="59">
        <v>0</v>
      </c>
      <c r="L64" s="59">
        <v>0</v>
      </c>
      <c r="M64" s="132"/>
      <c r="N64" s="162"/>
      <c r="O64" s="659"/>
      <c r="P64" s="659"/>
      <c r="R64" s="659"/>
    </row>
    <row r="65" spans="1:18" s="29" customFormat="1" ht="16.5" customHeight="1">
      <c r="A65" s="44"/>
      <c r="B65" s="49" t="s">
        <v>69</v>
      </c>
      <c r="C65" s="50" t="s">
        <v>70</v>
      </c>
      <c r="D65" s="62">
        <v>60000000</v>
      </c>
      <c r="E65" s="125">
        <v>0</v>
      </c>
      <c r="F65" s="135">
        <v>0</v>
      </c>
      <c r="G65" s="197" t="s">
        <v>132</v>
      </c>
      <c r="H65" s="59" t="s">
        <v>132</v>
      </c>
      <c r="I65" s="119" t="s">
        <v>132</v>
      </c>
      <c r="J65" s="59" t="s">
        <v>132</v>
      </c>
      <c r="K65" s="59">
        <v>0</v>
      </c>
      <c r="L65" s="59">
        <v>0</v>
      </c>
      <c r="M65" s="132"/>
      <c r="N65" s="162"/>
      <c r="O65" s="659"/>
      <c r="P65" s="659"/>
      <c r="R65" s="659"/>
    </row>
    <row r="66" spans="1:18" s="29" customFormat="1" ht="16.5" customHeight="1">
      <c r="A66" s="63"/>
      <c r="B66" s="64"/>
      <c r="C66" s="65" t="s">
        <v>45</v>
      </c>
      <c r="D66" s="66">
        <f>SUM(D64:D65)</f>
        <v>70000000</v>
      </c>
      <c r="E66" s="66">
        <f>SUM(E62:E65)</f>
        <v>0</v>
      </c>
      <c r="F66" s="66">
        <f>SUM(F62:F65)</f>
        <v>0</v>
      </c>
      <c r="G66" s="122" t="s">
        <v>132</v>
      </c>
      <c r="H66" s="66" t="s">
        <v>132</v>
      </c>
      <c r="I66" s="122" t="s">
        <v>132</v>
      </c>
      <c r="J66" s="66" t="s">
        <v>132</v>
      </c>
      <c r="K66" s="66">
        <f>SUM(K62:K65)</f>
        <v>0</v>
      </c>
      <c r="L66" s="66">
        <f>SUM(L62:L65)</f>
        <v>0</v>
      </c>
      <c r="M66" s="66"/>
      <c r="N66" s="162"/>
      <c r="O66" s="659"/>
      <c r="P66" s="659"/>
      <c r="R66" s="659"/>
    </row>
    <row r="67" spans="1:18" s="29" customFormat="1" ht="16.5" customHeight="1">
      <c r="A67" s="44">
        <v>16</v>
      </c>
      <c r="B67" s="81" t="s">
        <v>71</v>
      </c>
      <c r="C67" s="82"/>
      <c r="D67" s="57"/>
      <c r="E67" s="119"/>
      <c r="F67" s="131"/>
      <c r="G67" s="119"/>
      <c r="H67" s="152"/>
      <c r="I67" s="119"/>
      <c r="J67" s="152"/>
      <c r="K67" s="152"/>
      <c r="L67" s="152"/>
      <c r="M67" s="131"/>
      <c r="N67" s="162"/>
      <c r="O67" s="659"/>
      <c r="P67" s="659"/>
      <c r="R67" s="659"/>
    </row>
    <row r="68" spans="1:18" s="29" customFormat="1" ht="16.5" customHeight="1">
      <c r="A68" s="44"/>
      <c r="B68" s="47" t="s">
        <v>72</v>
      </c>
      <c r="C68" s="48" t="s">
        <v>73</v>
      </c>
      <c r="D68" s="60">
        <v>5000000</v>
      </c>
      <c r="E68" s="120">
        <v>0</v>
      </c>
      <c r="F68" s="132">
        <v>0</v>
      </c>
      <c r="G68" s="120" t="s">
        <v>132</v>
      </c>
      <c r="H68" s="59" t="s">
        <v>132</v>
      </c>
      <c r="I68" s="120" t="s">
        <v>132</v>
      </c>
      <c r="J68" s="59" t="s">
        <v>132</v>
      </c>
      <c r="K68" s="59">
        <v>0</v>
      </c>
      <c r="L68" s="59">
        <v>0</v>
      </c>
      <c r="M68" s="132"/>
      <c r="N68" s="162"/>
      <c r="O68" s="659"/>
      <c r="P68" s="659"/>
      <c r="R68" s="659"/>
    </row>
    <row r="69" spans="1:18" s="29" customFormat="1" ht="16.5" customHeight="1">
      <c r="A69" s="63"/>
      <c r="B69" s="83"/>
      <c r="C69" s="65" t="s">
        <v>45</v>
      </c>
      <c r="D69" s="66">
        <f>SUM(D68:D68)</f>
        <v>5000000</v>
      </c>
      <c r="E69" s="122">
        <f>SUM(E68:E68)</f>
        <v>0</v>
      </c>
      <c r="F69" s="66">
        <f>SUM(F68:F68)</f>
        <v>0</v>
      </c>
      <c r="G69" s="195" t="s">
        <v>132</v>
      </c>
      <c r="H69" s="66" t="s">
        <v>132</v>
      </c>
      <c r="I69" s="195" t="s">
        <v>132</v>
      </c>
      <c r="J69" s="155" t="s">
        <v>132</v>
      </c>
      <c r="K69" s="66">
        <v>0</v>
      </c>
      <c r="L69" s="66">
        <v>0</v>
      </c>
      <c r="M69" s="66"/>
      <c r="N69" s="162"/>
      <c r="O69" s="659"/>
      <c r="P69" s="659"/>
      <c r="R69" s="659"/>
    </row>
    <row r="70" spans="1:18" s="29" customFormat="1" ht="17.25" customHeight="1">
      <c r="A70" s="87" t="s">
        <v>69</v>
      </c>
      <c r="B70" s="826" t="s">
        <v>89</v>
      </c>
      <c r="C70" s="827"/>
      <c r="D70" s="70"/>
      <c r="E70" s="123"/>
      <c r="F70" s="134"/>
      <c r="G70" s="123"/>
      <c r="H70" s="156"/>
      <c r="I70" s="123"/>
      <c r="J70" s="156"/>
      <c r="K70" s="156"/>
      <c r="L70" s="156"/>
      <c r="M70" s="134"/>
      <c r="N70" s="162"/>
      <c r="O70" s="659"/>
      <c r="P70" s="659"/>
      <c r="R70" s="659"/>
    </row>
    <row r="71" spans="1:18" s="29" customFormat="1" ht="17.25" customHeight="1">
      <c r="A71" s="88"/>
      <c r="B71" s="830" t="s">
        <v>88</v>
      </c>
      <c r="C71" s="831"/>
      <c r="D71" s="57"/>
      <c r="E71" s="119"/>
      <c r="F71" s="131"/>
      <c r="G71" s="119"/>
      <c r="H71" s="152"/>
      <c r="I71" s="119"/>
      <c r="J71" s="152"/>
      <c r="K71" s="152"/>
      <c r="L71" s="152"/>
      <c r="M71" s="131"/>
      <c r="N71" s="162"/>
      <c r="O71" s="659"/>
      <c r="P71" s="659"/>
      <c r="R71" s="659"/>
    </row>
    <row r="72" spans="1:18" s="29" customFormat="1" ht="17.25" customHeight="1">
      <c r="A72" s="89"/>
      <c r="B72" s="61" t="s">
        <v>26</v>
      </c>
      <c r="C72" s="90" t="s">
        <v>74</v>
      </c>
      <c r="D72" s="91">
        <v>15000000</v>
      </c>
      <c r="E72" s="126">
        <v>0</v>
      </c>
      <c r="F72" s="136">
        <v>0</v>
      </c>
      <c r="G72" s="126" t="s">
        <v>132</v>
      </c>
      <c r="H72" s="157" t="s">
        <v>132</v>
      </c>
      <c r="I72" s="126" t="s">
        <v>132</v>
      </c>
      <c r="J72" s="157" t="s">
        <v>132</v>
      </c>
      <c r="K72" s="157">
        <v>0</v>
      </c>
      <c r="L72" s="157">
        <v>0</v>
      </c>
      <c r="M72" s="136"/>
      <c r="N72" s="162"/>
      <c r="O72" s="659"/>
      <c r="P72" s="659"/>
      <c r="R72" s="659"/>
    </row>
    <row r="73" spans="1:18" s="29" customFormat="1" ht="17.25" customHeight="1">
      <c r="A73" s="63"/>
      <c r="B73" s="83"/>
      <c r="C73" s="65" t="s">
        <v>45</v>
      </c>
      <c r="D73" s="66">
        <f>SUM(D72:D72)</f>
        <v>15000000</v>
      </c>
      <c r="E73" s="122">
        <f>SUM(E72:E72)</f>
        <v>0</v>
      </c>
      <c r="F73" s="66">
        <f>SUM(F72:F72)</f>
        <v>0</v>
      </c>
      <c r="G73" s="195" t="s">
        <v>132</v>
      </c>
      <c r="H73" s="66" t="s">
        <v>132</v>
      </c>
      <c r="I73" s="195" t="s">
        <v>132</v>
      </c>
      <c r="J73" s="155" t="s">
        <v>132</v>
      </c>
      <c r="K73" s="66">
        <v>0</v>
      </c>
      <c r="L73" s="66">
        <v>0</v>
      </c>
      <c r="M73" s="66"/>
      <c r="N73" s="162"/>
      <c r="O73" s="659"/>
      <c r="P73" s="659"/>
      <c r="R73" s="659"/>
    </row>
    <row r="74" spans="1:18" s="29" customFormat="1" ht="17.25" customHeight="1">
      <c r="A74" s="88"/>
      <c r="B74" s="826" t="s">
        <v>94</v>
      </c>
      <c r="C74" s="827"/>
      <c r="D74" s="57"/>
      <c r="E74" s="119"/>
      <c r="F74" s="131"/>
      <c r="G74" s="119"/>
      <c r="H74" s="152"/>
      <c r="I74" s="119"/>
      <c r="J74" s="152"/>
      <c r="K74" s="152"/>
      <c r="L74" s="152"/>
      <c r="M74" s="131"/>
      <c r="N74" s="162"/>
      <c r="O74" s="659"/>
      <c r="P74" s="659"/>
      <c r="R74" s="659"/>
    </row>
    <row r="75" spans="1:18" s="29" customFormat="1" ht="17.25" customHeight="1">
      <c r="A75" s="84"/>
      <c r="B75" s="92" t="s">
        <v>26</v>
      </c>
      <c r="C75" s="48" t="s">
        <v>134</v>
      </c>
      <c r="D75" s="60">
        <v>4000000</v>
      </c>
      <c r="E75" s="125">
        <v>0</v>
      </c>
      <c r="F75" s="135">
        <v>0</v>
      </c>
      <c r="G75" s="197" t="s">
        <v>132</v>
      </c>
      <c r="H75" s="59" t="s">
        <v>132</v>
      </c>
      <c r="I75" s="197" t="s">
        <v>132</v>
      </c>
      <c r="J75" s="59" t="s">
        <v>132</v>
      </c>
      <c r="K75" s="59">
        <v>0</v>
      </c>
      <c r="L75" s="59">
        <v>0</v>
      </c>
      <c r="M75" s="132"/>
      <c r="N75" s="162"/>
      <c r="O75" s="659"/>
      <c r="P75" s="659"/>
      <c r="R75" s="659"/>
    </row>
    <row r="76" spans="1:18" s="29" customFormat="1" ht="17.25" customHeight="1">
      <c r="A76" s="93"/>
      <c r="B76" s="64"/>
      <c r="C76" s="65" t="s">
        <v>45</v>
      </c>
      <c r="D76" s="66">
        <f>SUM(D75:D75)</f>
        <v>4000000</v>
      </c>
      <c r="E76" s="66">
        <f t="shared" ref="E76" si="16">SUM(E70:E75)</f>
        <v>0</v>
      </c>
      <c r="F76" s="66">
        <f t="shared" ref="F76" si="17">SUM(F70:F75)</f>
        <v>0</v>
      </c>
      <c r="G76" s="122" t="s">
        <v>132</v>
      </c>
      <c r="H76" s="66" t="s">
        <v>132</v>
      </c>
      <c r="I76" s="122" t="s">
        <v>132</v>
      </c>
      <c r="J76" s="66" t="s">
        <v>132</v>
      </c>
      <c r="K76" s="66">
        <v>0</v>
      </c>
      <c r="L76" s="66">
        <v>0</v>
      </c>
      <c r="M76" s="66"/>
      <c r="N76" s="162"/>
      <c r="O76" s="659"/>
      <c r="P76" s="659"/>
      <c r="R76" s="659"/>
    </row>
    <row r="77" spans="1:18" s="29" customFormat="1" ht="17.25" customHeight="1">
      <c r="A77" s="84">
        <v>16</v>
      </c>
      <c r="B77" s="826" t="s">
        <v>75</v>
      </c>
      <c r="C77" s="827"/>
      <c r="D77" s="57"/>
      <c r="E77" s="119"/>
      <c r="F77" s="131"/>
      <c r="G77" s="119"/>
      <c r="H77" s="156"/>
      <c r="I77" s="123"/>
      <c r="J77" s="152"/>
      <c r="K77" s="152"/>
      <c r="L77" s="152"/>
      <c r="M77" s="131"/>
      <c r="N77" s="162"/>
      <c r="O77" s="659"/>
      <c r="P77" s="659"/>
      <c r="R77" s="659"/>
    </row>
    <row r="78" spans="1:18" s="29" customFormat="1" ht="17.25" customHeight="1">
      <c r="A78" s="84"/>
      <c r="B78" s="94" t="s">
        <v>72</v>
      </c>
      <c r="C78" s="95" t="s">
        <v>103</v>
      </c>
      <c r="D78" s="80">
        <v>10000000</v>
      </c>
      <c r="E78" s="124"/>
      <c r="F78" s="131"/>
      <c r="G78" s="218" t="s">
        <v>132</v>
      </c>
      <c r="H78" s="212" t="s">
        <v>132</v>
      </c>
      <c r="I78" s="218" t="s">
        <v>132</v>
      </c>
      <c r="J78" s="152" t="s">
        <v>132</v>
      </c>
      <c r="K78" s="152"/>
      <c r="L78" s="152"/>
      <c r="M78" s="131"/>
      <c r="N78" s="162"/>
      <c r="O78" s="659"/>
      <c r="P78" s="659"/>
      <c r="R78" s="659"/>
    </row>
    <row r="79" spans="1:18" s="29" customFormat="1" ht="17.25" customHeight="1">
      <c r="A79" s="93"/>
      <c r="B79" s="83"/>
      <c r="C79" s="65" t="s">
        <v>45</v>
      </c>
      <c r="D79" s="66">
        <f>SUM(D78)</f>
        <v>10000000</v>
      </c>
      <c r="E79" s="66">
        <f t="shared" ref="E79:F79" si="18">SUM(E77:E78)</f>
        <v>0</v>
      </c>
      <c r="F79" s="66">
        <f t="shared" si="18"/>
        <v>0</v>
      </c>
      <c r="G79" s="122" t="s">
        <v>132</v>
      </c>
      <c r="H79" s="66" t="s">
        <v>132</v>
      </c>
      <c r="I79" s="122" t="s">
        <v>132</v>
      </c>
      <c r="J79" s="66" t="s">
        <v>132</v>
      </c>
      <c r="K79" s="66">
        <v>0</v>
      </c>
      <c r="L79" s="66">
        <v>0</v>
      </c>
      <c r="M79" s="66"/>
      <c r="N79" s="162"/>
      <c r="O79" s="659"/>
      <c r="P79" s="659"/>
      <c r="R79" s="659"/>
    </row>
    <row r="80" spans="1:18" s="29" customFormat="1" ht="24" customHeight="1">
      <c r="A80" s="84">
        <v>22</v>
      </c>
      <c r="B80" s="826" t="s">
        <v>87</v>
      </c>
      <c r="C80" s="827"/>
      <c r="D80" s="57"/>
      <c r="E80" s="119"/>
      <c r="F80" s="131"/>
      <c r="G80" s="119"/>
      <c r="H80" s="152"/>
      <c r="I80" s="119"/>
      <c r="J80" s="152"/>
      <c r="K80" s="152"/>
      <c r="L80" s="152"/>
      <c r="M80" s="131"/>
      <c r="N80" s="162"/>
      <c r="O80" s="659"/>
      <c r="P80" s="659"/>
      <c r="R80" s="659"/>
    </row>
    <row r="81" spans="1:18" s="29" customFormat="1" ht="24.75" customHeight="1">
      <c r="A81" s="84"/>
      <c r="B81" s="47" t="s">
        <v>26</v>
      </c>
      <c r="C81" s="95" t="s">
        <v>76</v>
      </c>
      <c r="D81" s="60">
        <v>3500000</v>
      </c>
      <c r="E81" s="125">
        <v>0</v>
      </c>
      <c r="F81" s="135">
        <v>0</v>
      </c>
      <c r="G81" s="197" t="s">
        <v>132</v>
      </c>
      <c r="H81" s="59" t="s">
        <v>132</v>
      </c>
      <c r="I81" s="197" t="s">
        <v>132</v>
      </c>
      <c r="J81" s="59" t="s">
        <v>132</v>
      </c>
      <c r="K81" s="59">
        <v>0</v>
      </c>
      <c r="L81" s="59">
        <v>0</v>
      </c>
      <c r="M81" s="132"/>
      <c r="N81" s="162"/>
      <c r="O81" s="659"/>
      <c r="P81" s="659"/>
      <c r="R81" s="659"/>
    </row>
    <row r="82" spans="1:18" s="29" customFormat="1" ht="17.25" customHeight="1">
      <c r="A82" s="63"/>
      <c r="B82" s="83"/>
      <c r="C82" s="65" t="s">
        <v>45</v>
      </c>
      <c r="D82" s="66">
        <f>SUM(D81:D81)</f>
        <v>3500000</v>
      </c>
      <c r="E82" s="66">
        <f t="shared" ref="E82" si="19">SUM(E79:E81)</f>
        <v>0</v>
      </c>
      <c r="F82" s="66">
        <f t="shared" ref="F82" si="20">SUM(F79:F81)</f>
        <v>0</v>
      </c>
      <c r="G82" s="122" t="s">
        <v>132</v>
      </c>
      <c r="H82" s="66" t="s">
        <v>132</v>
      </c>
      <c r="I82" s="122" t="s">
        <v>132</v>
      </c>
      <c r="J82" s="66" t="s">
        <v>132</v>
      </c>
      <c r="K82" s="66">
        <f t="shared" ref="K82" si="21">SUM(K79:K81)</f>
        <v>0</v>
      </c>
      <c r="L82" s="66">
        <f t="shared" ref="L82" si="22">SUM(L79:L81)</f>
        <v>0</v>
      </c>
      <c r="M82" s="66"/>
      <c r="N82" s="162"/>
      <c r="O82" s="659"/>
      <c r="P82" s="659"/>
      <c r="R82" s="659"/>
    </row>
    <row r="83" spans="1:18" s="29" customFormat="1" ht="25.5" customHeight="1">
      <c r="A83" s="44">
        <v>17</v>
      </c>
      <c r="B83" s="822" t="s">
        <v>56</v>
      </c>
      <c r="C83" s="823"/>
      <c r="D83" s="57"/>
      <c r="E83" s="119"/>
      <c r="F83" s="131"/>
      <c r="G83" s="119"/>
      <c r="H83" s="152"/>
      <c r="I83" s="119"/>
      <c r="J83" s="152"/>
      <c r="K83" s="152"/>
      <c r="L83" s="152"/>
      <c r="M83" s="131"/>
      <c r="N83" s="162"/>
      <c r="O83" s="659"/>
      <c r="P83" s="659"/>
      <c r="R83" s="659"/>
    </row>
    <row r="84" spans="1:18" s="29" customFormat="1" ht="17.25" customHeight="1">
      <c r="A84" s="44"/>
      <c r="B84" s="47">
        <v>19</v>
      </c>
      <c r="C84" s="824" t="s">
        <v>91</v>
      </c>
      <c r="D84" s="128"/>
      <c r="E84" s="120"/>
      <c r="F84" s="132"/>
      <c r="G84" s="119"/>
      <c r="H84" s="59"/>
      <c r="I84" s="119"/>
      <c r="J84" s="59"/>
      <c r="K84" s="59"/>
      <c r="L84" s="59"/>
      <c r="M84" s="132"/>
      <c r="N84" s="162"/>
      <c r="O84" s="659"/>
      <c r="P84" s="659"/>
      <c r="R84" s="659"/>
    </row>
    <row r="85" spans="1:18" s="29" customFormat="1" ht="17.25" customHeight="1">
      <c r="A85" s="44"/>
      <c r="B85" s="163"/>
      <c r="C85" s="825"/>
      <c r="D85" s="60">
        <v>25000000</v>
      </c>
      <c r="E85" s="164">
        <v>0</v>
      </c>
      <c r="F85" s="165">
        <v>0</v>
      </c>
      <c r="G85" s="198" t="s">
        <v>132</v>
      </c>
      <c r="H85" s="148" t="s">
        <v>132</v>
      </c>
      <c r="I85" s="198" t="s">
        <v>132</v>
      </c>
      <c r="J85" s="148" t="s">
        <v>132</v>
      </c>
      <c r="K85" s="148">
        <v>0</v>
      </c>
      <c r="L85" s="148">
        <v>0</v>
      </c>
      <c r="M85" s="165"/>
      <c r="N85" s="162"/>
      <c r="O85" s="659"/>
      <c r="P85" s="659"/>
      <c r="R85" s="659"/>
    </row>
    <row r="86" spans="1:18" s="29" customFormat="1" ht="17.25" customHeight="1">
      <c r="A86" s="63"/>
      <c r="B86" s="96"/>
      <c r="C86" s="65" t="s">
        <v>45</v>
      </c>
      <c r="D86" s="66">
        <f>SUM(D85:D85)</f>
        <v>25000000</v>
      </c>
      <c r="E86" s="122">
        <f>SUM(E84:E84)</f>
        <v>0</v>
      </c>
      <c r="F86" s="137">
        <f>SUM(F84:F84)</f>
        <v>0</v>
      </c>
      <c r="G86" s="122" t="s">
        <v>132</v>
      </c>
      <c r="H86" s="66" t="s">
        <v>132</v>
      </c>
      <c r="I86" s="122" t="s">
        <v>132</v>
      </c>
      <c r="J86" s="155" t="s">
        <v>132</v>
      </c>
      <c r="K86" s="66">
        <f>SUM(K84:K84)</f>
        <v>0</v>
      </c>
      <c r="L86" s="66">
        <f>SUM(L84:L84)</f>
        <v>0</v>
      </c>
      <c r="M86" s="137"/>
      <c r="N86" s="162"/>
      <c r="O86" s="659"/>
      <c r="P86" s="659"/>
      <c r="R86" s="659"/>
    </row>
    <row r="87" spans="1:18" s="29" customFormat="1" ht="17.25" customHeight="1">
      <c r="A87" s="44">
        <v>19</v>
      </c>
      <c r="B87" s="826" t="s">
        <v>57</v>
      </c>
      <c r="C87" s="827"/>
      <c r="D87" s="57"/>
      <c r="E87" s="119"/>
      <c r="F87" s="131"/>
      <c r="G87" s="119"/>
      <c r="H87" s="152"/>
      <c r="I87" s="119"/>
      <c r="J87" s="152"/>
      <c r="K87" s="152"/>
      <c r="L87" s="152"/>
      <c r="M87" s="131"/>
      <c r="N87" s="162"/>
      <c r="O87" s="659"/>
      <c r="P87" s="659"/>
      <c r="R87" s="659"/>
    </row>
    <row r="88" spans="1:18" s="29" customFormat="1" ht="17.25" customHeight="1">
      <c r="A88" s="44"/>
      <c r="B88" s="47" t="s">
        <v>26</v>
      </c>
      <c r="C88" s="48" t="s">
        <v>58</v>
      </c>
      <c r="D88" s="60">
        <v>15000000</v>
      </c>
      <c r="E88" s="120">
        <v>0</v>
      </c>
      <c r="F88" s="132">
        <v>0</v>
      </c>
      <c r="G88" s="197" t="s">
        <v>132</v>
      </c>
      <c r="H88" s="59" t="s">
        <v>132</v>
      </c>
      <c r="I88" s="197" t="s">
        <v>132</v>
      </c>
      <c r="J88" s="59" t="s">
        <v>132</v>
      </c>
      <c r="K88" s="59">
        <v>0</v>
      </c>
      <c r="L88" s="59">
        <v>0</v>
      </c>
      <c r="M88" s="132"/>
      <c r="N88" s="162"/>
      <c r="O88" s="659"/>
      <c r="P88" s="659"/>
      <c r="R88" s="659"/>
    </row>
    <row r="89" spans="1:18" s="29" customFormat="1" ht="17.25" customHeight="1">
      <c r="A89" s="183"/>
      <c r="B89" s="64"/>
      <c r="C89" s="65" t="s">
        <v>45</v>
      </c>
      <c r="D89" s="66">
        <f>SUM(D88)</f>
        <v>15000000</v>
      </c>
      <c r="E89" s="122">
        <f>SUM(E86:E86)</f>
        <v>0</v>
      </c>
      <c r="F89" s="66">
        <f>SUM(F86:F86)</f>
        <v>0</v>
      </c>
      <c r="G89" s="122" t="s">
        <v>132</v>
      </c>
      <c r="H89" s="66" t="s">
        <v>132</v>
      </c>
      <c r="I89" s="122" t="s">
        <v>132</v>
      </c>
      <c r="J89" s="155" t="s">
        <v>132</v>
      </c>
      <c r="K89" s="66">
        <f>SUM(K86:K86)</f>
        <v>0</v>
      </c>
      <c r="L89" s="66">
        <f>SUM(L86:L86)</f>
        <v>0</v>
      </c>
      <c r="M89" s="66"/>
      <c r="N89" s="162"/>
      <c r="O89" s="659"/>
      <c r="P89" s="659"/>
      <c r="R89" s="659"/>
    </row>
    <row r="90" spans="1:18" s="29" customFormat="1" ht="17.25" customHeight="1">
      <c r="A90" s="44">
        <v>32</v>
      </c>
      <c r="B90" s="97" t="s">
        <v>59</v>
      </c>
      <c r="C90" s="98"/>
      <c r="D90" s="57"/>
      <c r="E90" s="119"/>
      <c r="F90" s="131"/>
      <c r="G90" s="119"/>
      <c r="H90" s="152"/>
      <c r="I90" s="119"/>
      <c r="J90" s="152"/>
      <c r="K90" s="152"/>
      <c r="L90" s="152"/>
      <c r="M90" s="131"/>
      <c r="N90" s="162"/>
      <c r="O90" s="659"/>
      <c r="P90" s="659"/>
      <c r="R90" s="659"/>
    </row>
    <row r="91" spans="1:18" s="29" customFormat="1" ht="17.25" customHeight="1">
      <c r="A91" s="44"/>
      <c r="B91" s="47" t="s">
        <v>26</v>
      </c>
      <c r="C91" s="58" t="s">
        <v>60</v>
      </c>
      <c r="D91" s="60">
        <v>15000000</v>
      </c>
      <c r="E91" s="120">
        <v>0</v>
      </c>
      <c r="F91" s="132">
        <v>0</v>
      </c>
      <c r="G91" s="197" t="s">
        <v>132</v>
      </c>
      <c r="H91" s="59" t="s">
        <v>132</v>
      </c>
      <c r="I91" s="197" t="s">
        <v>132</v>
      </c>
      <c r="J91" s="59" t="s">
        <v>133</v>
      </c>
      <c r="K91" s="59">
        <v>0</v>
      </c>
      <c r="L91" s="59">
        <v>0</v>
      </c>
      <c r="M91" s="132"/>
      <c r="N91" s="162"/>
      <c r="O91" s="659"/>
      <c r="P91" s="659"/>
      <c r="R91" s="659"/>
    </row>
    <row r="92" spans="1:18" s="29" customFormat="1" ht="17.25" customHeight="1">
      <c r="A92" s="63"/>
      <c r="B92" s="64"/>
      <c r="C92" s="65" t="s">
        <v>45</v>
      </c>
      <c r="D92" s="66">
        <f>SUM(D91)</f>
        <v>15000000</v>
      </c>
      <c r="E92" s="122">
        <f>SUM(E91:E91)</f>
        <v>0</v>
      </c>
      <c r="F92" s="66">
        <f>SUM(F91:F91)</f>
        <v>0</v>
      </c>
      <c r="G92" s="122" t="s">
        <v>132</v>
      </c>
      <c r="H92" s="66" t="s">
        <v>132</v>
      </c>
      <c r="I92" s="122" t="s">
        <v>132</v>
      </c>
      <c r="J92" s="155" t="s">
        <v>132</v>
      </c>
      <c r="K92" s="66">
        <f>SUM(K91:K91)</f>
        <v>0</v>
      </c>
      <c r="L92" s="66">
        <f>SUM(L91:L91)</f>
        <v>0</v>
      </c>
      <c r="M92" s="66"/>
      <c r="N92" s="162"/>
      <c r="O92" s="659"/>
      <c r="P92" s="659"/>
      <c r="R92" s="659"/>
    </row>
    <row r="93" spans="1:18" s="29" customFormat="1" ht="17.25" customHeight="1">
      <c r="A93" s="99">
        <v>15</v>
      </c>
      <c r="B93" s="100" t="s">
        <v>77</v>
      </c>
      <c r="C93" s="189"/>
      <c r="D93" s="70"/>
      <c r="E93" s="123"/>
      <c r="F93" s="134"/>
      <c r="G93" s="123"/>
      <c r="H93" s="156"/>
      <c r="I93" s="123"/>
      <c r="J93" s="144"/>
      <c r="K93" s="156"/>
      <c r="L93" s="156"/>
      <c r="M93" s="134"/>
      <c r="N93" s="162"/>
      <c r="O93" s="659"/>
      <c r="P93" s="659"/>
      <c r="R93" s="659"/>
    </row>
    <row r="94" spans="1:18" s="29" customFormat="1" ht="17.25" customHeight="1">
      <c r="A94" s="84"/>
      <c r="B94" s="101" t="s">
        <v>78</v>
      </c>
      <c r="C94" s="48"/>
      <c r="D94" s="102"/>
      <c r="E94" s="119"/>
      <c r="F94" s="131"/>
      <c r="G94" s="119"/>
      <c r="H94" s="152"/>
      <c r="I94" s="119"/>
      <c r="J94" s="59"/>
      <c r="K94" s="152"/>
      <c r="L94" s="152"/>
      <c r="M94" s="131"/>
      <c r="N94" s="162"/>
      <c r="O94" s="659"/>
      <c r="P94" s="659"/>
      <c r="R94" s="659"/>
    </row>
    <row r="95" spans="1:18" s="29" customFormat="1" ht="17.25" customHeight="1">
      <c r="A95" s="44"/>
      <c r="B95" s="47" t="s">
        <v>26</v>
      </c>
      <c r="C95" s="48" t="s">
        <v>79</v>
      </c>
      <c r="D95" s="60">
        <v>5000000</v>
      </c>
      <c r="E95" s="120">
        <v>0</v>
      </c>
      <c r="F95" s="132">
        <v>0</v>
      </c>
      <c r="G95" s="199" t="s">
        <v>132</v>
      </c>
      <c r="H95" s="59" t="s">
        <v>132</v>
      </c>
      <c r="I95" s="199" t="s">
        <v>132</v>
      </c>
      <c r="J95" s="59" t="s">
        <v>132</v>
      </c>
      <c r="K95" s="59">
        <v>0</v>
      </c>
      <c r="L95" s="59">
        <v>0</v>
      </c>
      <c r="M95" s="132"/>
      <c r="N95" s="162"/>
      <c r="O95" s="659"/>
      <c r="P95" s="659"/>
      <c r="R95" s="659"/>
    </row>
    <row r="96" spans="1:18" s="29" customFormat="1" ht="17.25" customHeight="1">
      <c r="A96" s="89"/>
      <c r="B96" s="61" t="s">
        <v>80</v>
      </c>
      <c r="C96" s="103" t="s">
        <v>104</v>
      </c>
      <c r="D96" s="91">
        <v>15000000</v>
      </c>
      <c r="E96" s="127">
        <v>0</v>
      </c>
      <c r="F96" s="138">
        <v>0</v>
      </c>
      <c r="G96" s="197" t="s">
        <v>132</v>
      </c>
      <c r="H96" s="157" t="s">
        <v>132</v>
      </c>
      <c r="I96" s="197" t="s">
        <v>132</v>
      </c>
      <c r="J96" s="157" t="s">
        <v>132</v>
      </c>
      <c r="K96" s="157">
        <v>0</v>
      </c>
      <c r="L96" s="157">
        <v>0</v>
      </c>
      <c r="M96" s="136"/>
      <c r="N96" s="162"/>
      <c r="O96" s="659"/>
      <c r="P96" s="659"/>
      <c r="R96" s="659"/>
    </row>
    <row r="97" spans="1:18" s="29" customFormat="1" ht="17.25" customHeight="1">
      <c r="A97" s="93"/>
      <c r="B97" s="83"/>
      <c r="C97" s="65" t="s">
        <v>45</v>
      </c>
      <c r="D97" s="66">
        <f>SUM(D95:D96)</f>
        <v>20000000</v>
      </c>
      <c r="E97" s="66">
        <f>SUM(E95:E96)</f>
        <v>0</v>
      </c>
      <c r="F97" s="66">
        <f t="shared" ref="F97:L97" si="23">SUM(F95:F96)</f>
        <v>0</v>
      </c>
      <c r="G97" s="122" t="s">
        <v>132</v>
      </c>
      <c r="H97" s="66" t="s">
        <v>132</v>
      </c>
      <c r="I97" s="122" t="s">
        <v>132</v>
      </c>
      <c r="J97" s="66" t="s">
        <v>132</v>
      </c>
      <c r="K97" s="66">
        <f>SUM(K95:K96)</f>
        <v>0</v>
      </c>
      <c r="L97" s="66">
        <f t="shared" si="23"/>
        <v>0</v>
      </c>
      <c r="M97" s="66"/>
      <c r="N97" s="162"/>
      <c r="O97" s="659"/>
      <c r="P97" s="659"/>
      <c r="R97" s="659"/>
    </row>
    <row r="98" spans="1:18" s="29" customFormat="1" ht="17.25" customHeight="1">
      <c r="A98" s="84">
        <v>18</v>
      </c>
      <c r="B98" s="75" t="s">
        <v>82</v>
      </c>
      <c r="C98" s="76"/>
      <c r="D98" s="57"/>
      <c r="E98" s="119"/>
      <c r="F98" s="131"/>
      <c r="G98" s="119"/>
      <c r="H98" s="152"/>
      <c r="I98" s="119"/>
      <c r="J98" s="152"/>
      <c r="K98" s="152"/>
      <c r="L98" s="152"/>
      <c r="M98" s="131"/>
      <c r="N98" s="162"/>
      <c r="O98" s="659"/>
      <c r="P98" s="659"/>
      <c r="R98" s="659"/>
    </row>
    <row r="99" spans="1:18" s="29" customFormat="1" ht="26.25" customHeight="1">
      <c r="A99" s="84"/>
      <c r="B99" s="94" t="s">
        <v>29</v>
      </c>
      <c r="C99" s="48" t="s">
        <v>92</v>
      </c>
      <c r="D99" s="60">
        <v>7500000</v>
      </c>
      <c r="E99" s="120">
        <v>0</v>
      </c>
      <c r="F99" s="132">
        <v>0</v>
      </c>
      <c r="G99" s="199" t="s">
        <v>132</v>
      </c>
      <c r="H99" s="59" t="s">
        <v>132</v>
      </c>
      <c r="I99" s="199" t="s">
        <v>132</v>
      </c>
      <c r="J99" s="59" t="s">
        <v>132</v>
      </c>
      <c r="K99" s="59">
        <v>0</v>
      </c>
      <c r="L99" s="59">
        <v>0</v>
      </c>
      <c r="M99" s="131"/>
      <c r="N99" s="162"/>
      <c r="O99" s="659"/>
      <c r="P99" s="659"/>
      <c r="R99" s="659"/>
    </row>
    <row r="100" spans="1:18" s="29" customFormat="1" ht="25.5" customHeight="1">
      <c r="A100" s="84"/>
      <c r="B100" s="94" t="s">
        <v>83</v>
      </c>
      <c r="C100" s="48" t="s">
        <v>93</v>
      </c>
      <c r="D100" s="62">
        <v>10000000</v>
      </c>
      <c r="E100" s="121">
        <v>0</v>
      </c>
      <c r="F100" s="133">
        <v>0</v>
      </c>
      <c r="G100" s="200" t="s">
        <v>132</v>
      </c>
      <c r="H100" s="59" t="s">
        <v>132</v>
      </c>
      <c r="I100" s="200" t="str">
        <f>G100</f>
        <v>-</v>
      </c>
      <c r="J100" s="59" t="s">
        <v>132</v>
      </c>
      <c r="K100" s="153">
        <v>0</v>
      </c>
      <c r="L100" s="153">
        <v>0</v>
      </c>
      <c r="M100" s="131"/>
      <c r="N100" s="162"/>
      <c r="O100" s="659"/>
      <c r="P100" s="659"/>
      <c r="R100" s="659"/>
    </row>
    <row r="101" spans="1:18" s="29" customFormat="1" ht="16.5" customHeight="1">
      <c r="A101" s="93"/>
      <c r="B101" s="64"/>
      <c r="C101" s="65" t="s">
        <v>45</v>
      </c>
      <c r="D101" s="66">
        <f>SUM(D99:D100)</f>
        <v>17500000</v>
      </c>
      <c r="E101" s="66">
        <f t="shared" ref="E101:I101" si="24">SUM(E99:E100)</f>
        <v>0</v>
      </c>
      <c r="F101" s="66">
        <f t="shared" si="24"/>
        <v>0</v>
      </c>
      <c r="G101" s="122" t="s">
        <v>132</v>
      </c>
      <c r="H101" s="66" t="s">
        <v>132</v>
      </c>
      <c r="I101" s="122">
        <f t="shared" si="24"/>
        <v>0</v>
      </c>
      <c r="J101" s="66" t="s">
        <v>132</v>
      </c>
      <c r="K101" s="66">
        <v>0</v>
      </c>
      <c r="L101" s="66">
        <v>0</v>
      </c>
      <c r="M101" s="66"/>
      <c r="N101" s="162"/>
      <c r="O101" s="659"/>
      <c r="P101" s="659"/>
      <c r="R101" s="659"/>
    </row>
    <row r="102" spans="1:18" s="29" customFormat="1" ht="16.5" customHeight="1">
      <c r="A102" s="99">
        <v>26</v>
      </c>
      <c r="B102" s="104" t="s">
        <v>105</v>
      </c>
      <c r="C102" s="105"/>
      <c r="D102" s="57"/>
      <c r="E102" s="119"/>
      <c r="F102" s="131"/>
      <c r="G102" s="119"/>
      <c r="H102" s="152"/>
      <c r="I102" s="119"/>
      <c r="J102" s="152"/>
      <c r="K102" s="152"/>
      <c r="L102" s="152"/>
      <c r="M102" s="131"/>
      <c r="N102" s="162"/>
      <c r="O102" s="659"/>
      <c r="P102" s="659"/>
      <c r="R102" s="659"/>
    </row>
    <row r="103" spans="1:18" s="29" customFormat="1" ht="16.5" customHeight="1">
      <c r="A103" s="44"/>
      <c r="B103" s="47" t="s">
        <v>84</v>
      </c>
      <c r="C103" s="48" t="s">
        <v>106</v>
      </c>
      <c r="D103" s="60">
        <v>5000000</v>
      </c>
      <c r="E103" s="120" t="s">
        <v>132</v>
      </c>
      <c r="F103" s="132">
        <v>0</v>
      </c>
      <c r="G103" s="120" t="s">
        <v>132</v>
      </c>
      <c r="H103" s="59" t="s">
        <v>132</v>
      </c>
      <c r="I103" s="120">
        <v>0</v>
      </c>
      <c r="J103" s="59" t="s">
        <v>132</v>
      </c>
      <c r="K103" s="59">
        <v>0</v>
      </c>
      <c r="L103" s="59">
        <v>0</v>
      </c>
      <c r="M103" s="132"/>
      <c r="N103" s="162"/>
      <c r="O103" s="659"/>
      <c r="P103" s="659"/>
      <c r="R103" s="659"/>
    </row>
    <row r="104" spans="1:18" s="29" customFormat="1" ht="17.25" customHeight="1">
      <c r="A104" s="63"/>
      <c r="B104" s="64"/>
      <c r="C104" s="65" t="s">
        <v>45</v>
      </c>
      <c r="D104" s="66">
        <f>SUM(D103)</f>
        <v>5000000</v>
      </c>
      <c r="E104" s="66">
        <v>0</v>
      </c>
      <c r="F104" s="66">
        <f t="shared" ref="F104" si="25">SUM(F101:F103)</f>
        <v>0</v>
      </c>
      <c r="G104" s="122" t="s">
        <v>132</v>
      </c>
      <c r="H104" s="66" t="s">
        <v>132</v>
      </c>
      <c r="I104" s="122" t="s">
        <v>132</v>
      </c>
      <c r="J104" s="66" t="s">
        <v>132</v>
      </c>
      <c r="K104" s="66">
        <v>0</v>
      </c>
      <c r="L104" s="66">
        <v>0</v>
      </c>
      <c r="M104" s="66"/>
      <c r="N104" s="162"/>
      <c r="O104" s="659"/>
      <c r="P104" s="659"/>
      <c r="R104" s="659"/>
    </row>
    <row r="105" spans="1:18" s="29" customFormat="1" ht="17.25" customHeight="1">
      <c r="A105" s="99">
        <v>16</v>
      </c>
      <c r="B105" s="104" t="s">
        <v>123</v>
      </c>
      <c r="C105" s="105"/>
      <c r="D105" s="57"/>
      <c r="E105" s="119"/>
      <c r="F105" s="131"/>
      <c r="G105" s="119"/>
      <c r="H105" s="152"/>
      <c r="I105" s="119"/>
      <c r="J105" s="152"/>
      <c r="K105" s="152"/>
      <c r="L105" s="152"/>
      <c r="M105" s="131"/>
      <c r="N105" s="162"/>
      <c r="O105" s="659"/>
      <c r="P105" s="659"/>
      <c r="R105" s="659"/>
    </row>
    <row r="106" spans="1:18" s="29" customFormat="1" ht="17.25" customHeight="1">
      <c r="A106" s="84"/>
      <c r="B106" s="185" t="s">
        <v>124</v>
      </c>
      <c r="C106" s="186"/>
      <c r="D106" s="182"/>
      <c r="E106" s="124"/>
      <c r="F106" s="131"/>
      <c r="G106" s="131"/>
      <c r="H106" s="152"/>
      <c r="I106" s="131"/>
      <c r="J106" s="152"/>
      <c r="K106" s="152"/>
      <c r="L106" s="152"/>
      <c r="M106" s="152"/>
      <c r="N106" s="162"/>
      <c r="O106" s="659"/>
      <c r="P106" s="659"/>
      <c r="R106" s="659"/>
    </row>
    <row r="107" spans="1:18" s="29" customFormat="1" ht="33.75" customHeight="1">
      <c r="A107" s="44"/>
      <c r="B107" s="282" t="s">
        <v>46</v>
      </c>
      <c r="C107" s="50" t="s">
        <v>217</v>
      </c>
      <c r="D107" s="60">
        <v>27000000</v>
      </c>
      <c r="E107" s="125">
        <v>0</v>
      </c>
      <c r="F107" s="135">
        <v>0</v>
      </c>
      <c r="G107" s="124">
        <v>0</v>
      </c>
      <c r="H107" s="59" t="s">
        <v>132</v>
      </c>
      <c r="I107" s="124">
        <v>0</v>
      </c>
      <c r="J107" s="59" t="s">
        <v>132</v>
      </c>
      <c r="K107" s="59">
        <v>0</v>
      </c>
      <c r="L107" s="59">
        <v>0</v>
      </c>
      <c r="M107" s="59"/>
      <c r="N107" s="162"/>
      <c r="O107" s="659"/>
      <c r="P107" s="659"/>
      <c r="R107" s="659"/>
    </row>
    <row r="108" spans="1:18" s="29" customFormat="1" ht="17.25" customHeight="1">
      <c r="A108" s="44"/>
      <c r="B108" s="163" t="s">
        <v>111</v>
      </c>
      <c r="C108" s="204" t="s">
        <v>81</v>
      </c>
      <c r="D108" s="205">
        <v>3000000</v>
      </c>
      <c r="E108" s="125">
        <v>0</v>
      </c>
      <c r="F108" s="135">
        <v>0</v>
      </c>
      <c r="G108" s="201" t="s">
        <v>132</v>
      </c>
      <c r="H108" s="187" t="s">
        <v>132</v>
      </c>
      <c r="I108" s="201" t="s">
        <v>132</v>
      </c>
      <c r="J108" s="187" t="s">
        <v>132</v>
      </c>
      <c r="K108" s="59">
        <v>0</v>
      </c>
      <c r="L108" s="187"/>
      <c r="M108" s="188"/>
      <c r="N108" s="162"/>
      <c r="O108" s="659"/>
      <c r="P108" s="659"/>
      <c r="R108" s="659"/>
    </row>
    <row r="109" spans="1:18" s="29" customFormat="1" ht="17.25" customHeight="1">
      <c r="A109" s="63"/>
      <c r="B109" s="64"/>
      <c r="C109" s="65" t="s">
        <v>45</v>
      </c>
      <c r="D109" s="66">
        <f>SUM(D107:D108)</f>
        <v>30000000</v>
      </c>
      <c r="E109" s="66">
        <f>SUM(E107:E108)</f>
        <v>0</v>
      </c>
      <c r="F109" s="66">
        <f>SUM(F107:F108)</f>
        <v>0</v>
      </c>
      <c r="G109" s="122" t="s">
        <v>132</v>
      </c>
      <c r="H109" s="66" t="s">
        <v>132</v>
      </c>
      <c r="I109" s="122">
        <f>SUM(I107:I108)</f>
        <v>0</v>
      </c>
      <c r="J109" s="66" t="s">
        <v>132</v>
      </c>
      <c r="K109" s="66">
        <f>SUM(K107:K108)</f>
        <v>0</v>
      </c>
      <c r="L109" s="66">
        <f>SUM(L107:L108)</f>
        <v>0</v>
      </c>
      <c r="M109" s="66"/>
      <c r="N109" s="162"/>
      <c r="O109" s="659"/>
      <c r="P109" s="659"/>
      <c r="R109" s="659"/>
    </row>
    <row r="110" spans="1:18" s="29" customFormat="1" ht="16.5" customHeight="1">
      <c r="A110" s="99">
        <v>17</v>
      </c>
      <c r="B110" s="104" t="s">
        <v>127</v>
      </c>
      <c r="C110" s="105"/>
      <c r="D110" s="57"/>
      <c r="E110" s="119"/>
      <c r="F110" s="131"/>
      <c r="G110" s="119"/>
      <c r="H110" s="152"/>
      <c r="I110" s="119"/>
      <c r="J110" s="152"/>
      <c r="K110" s="152"/>
      <c r="L110" s="152"/>
      <c r="M110" s="131"/>
      <c r="N110" s="162"/>
      <c r="O110" s="659"/>
      <c r="P110" s="659"/>
      <c r="R110" s="659"/>
    </row>
    <row r="111" spans="1:18" s="29" customFormat="1" ht="16.5" customHeight="1">
      <c r="A111" s="44"/>
      <c r="B111" s="47" t="s">
        <v>84</v>
      </c>
      <c r="C111" s="48" t="s">
        <v>128</v>
      </c>
      <c r="D111" s="60">
        <v>10000000</v>
      </c>
      <c r="E111" s="120">
        <v>0</v>
      </c>
      <c r="F111" s="132">
        <v>0</v>
      </c>
      <c r="G111" s="120" t="s">
        <v>132</v>
      </c>
      <c r="H111" s="59" t="s">
        <v>132</v>
      </c>
      <c r="I111" s="120">
        <v>0</v>
      </c>
      <c r="J111" s="59" t="s">
        <v>132</v>
      </c>
      <c r="K111" s="59">
        <v>0</v>
      </c>
      <c r="L111" s="59">
        <v>0</v>
      </c>
      <c r="M111" s="132"/>
      <c r="N111" s="162"/>
      <c r="O111" s="659"/>
      <c r="P111" s="659"/>
      <c r="R111" s="659"/>
    </row>
    <row r="112" spans="1:18" s="29" customFormat="1" ht="17.25" customHeight="1">
      <c r="A112" s="63"/>
      <c r="B112" s="64"/>
      <c r="C112" s="65" t="s">
        <v>45</v>
      </c>
      <c r="D112" s="66">
        <f>SUM(D111)</f>
        <v>10000000</v>
      </c>
      <c r="E112" s="66">
        <f t="shared" ref="E112" si="26">SUM(E109:E111)</f>
        <v>0</v>
      </c>
      <c r="F112" s="66">
        <f t="shared" ref="F112:K112" si="27">SUM(F109:F111)</f>
        <v>0</v>
      </c>
      <c r="G112" s="122" t="s">
        <v>132</v>
      </c>
      <c r="H112" s="66" t="s">
        <v>132</v>
      </c>
      <c r="I112" s="122" t="s">
        <v>132</v>
      </c>
      <c r="J112" s="66" t="s">
        <v>132</v>
      </c>
      <c r="K112" s="66">
        <f t="shared" si="27"/>
        <v>0</v>
      </c>
      <c r="L112" s="66">
        <v>0</v>
      </c>
      <c r="M112" s="66"/>
      <c r="N112" s="162"/>
      <c r="O112" s="659"/>
      <c r="P112" s="659"/>
      <c r="R112" s="659"/>
    </row>
    <row r="113" spans="1:18 16384:16384" s="29" customFormat="1" ht="17.25" customHeight="1">
      <c r="A113" s="44">
        <v>18</v>
      </c>
      <c r="B113" s="104" t="s">
        <v>218</v>
      </c>
      <c r="C113" s="105"/>
      <c r="D113" s="70"/>
      <c r="E113" s="70"/>
      <c r="F113" s="70"/>
      <c r="G113" s="287"/>
      <c r="H113" s="70"/>
      <c r="I113" s="287"/>
      <c r="J113" s="70"/>
      <c r="K113" s="70"/>
      <c r="L113" s="70"/>
      <c r="M113" s="70"/>
      <c r="N113" s="162"/>
      <c r="O113" s="659"/>
      <c r="P113" s="659"/>
      <c r="R113" s="659"/>
    </row>
    <row r="114" spans="1:18 16384:16384" s="29" customFormat="1" ht="27" customHeight="1">
      <c r="A114" s="44"/>
      <c r="B114" s="283" t="s">
        <v>83</v>
      </c>
      <c r="C114" s="284" t="s">
        <v>219</v>
      </c>
      <c r="D114" s="288">
        <v>50000000</v>
      </c>
      <c r="E114" s="285">
        <v>0</v>
      </c>
      <c r="F114" s="285">
        <v>0</v>
      </c>
      <c r="G114" s="286">
        <v>0</v>
      </c>
      <c r="H114" s="285">
        <v>0</v>
      </c>
      <c r="I114" s="286">
        <v>0</v>
      </c>
      <c r="J114" s="285">
        <v>0</v>
      </c>
      <c r="K114" s="285">
        <v>0</v>
      </c>
      <c r="L114" s="285">
        <v>0</v>
      </c>
      <c r="M114" s="285"/>
      <c r="N114" s="162"/>
      <c r="O114" s="659"/>
      <c r="P114" s="659"/>
      <c r="R114" s="659"/>
    </row>
    <row r="115" spans="1:18 16384:16384" s="29" customFormat="1" ht="17.25" customHeight="1">
      <c r="A115" s="63"/>
      <c r="B115" s="64"/>
      <c r="C115" s="65" t="s">
        <v>45</v>
      </c>
      <c r="D115" s="66">
        <f>SUM(D114)</f>
        <v>50000000</v>
      </c>
      <c r="E115" s="66">
        <v>0</v>
      </c>
      <c r="F115" s="66">
        <v>0</v>
      </c>
      <c r="G115" s="122">
        <v>0</v>
      </c>
      <c r="H115" s="66">
        <v>0</v>
      </c>
      <c r="I115" s="122">
        <v>0</v>
      </c>
      <c r="J115" s="66">
        <v>0</v>
      </c>
      <c r="K115" s="66">
        <v>0</v>
      </c>
      <c r="L115" s="66">
        <v>0</v>
      </c>
      <c r="M115" s="66"/>
      <c r="N115" s="162"/>
      <c r="O115" s="659"/>
      <c r="P115" s="659"/>
      <c r="R115" s="659"/>
    </row>
    <row r="116" spans="1:18 16384:16384" s="29" customFormat="1" ht="17.25" customHeight="1">
      <c r="A116" s="44">
        <v>24</v>
      </c>
      <c r="B116" s="104" t="s">
        <v>221</v>
      </c>
      <c r="C116" s="105"/>
      <c r="D116" s="70"/>
      <c r="E116" s="70"/>
      <c r="F116" s="70"/>
      <c r="G116" s="287"/>
      <c r="H116" s="70"/>
      <c r="I116" s="287"/>
      <c r="J116" s="70"/>
      <c r="K116" s="70"/>
      <c r="L116" s="70"/>
      <c r="M116" s="70"/>
      <c r="N116" s="162"/>
      <c r="O116" s="659"/>
      <c r="P116" s="659"/>
      <c r="R116" s="659"/>
    </row>
    <row r="117" spans="1:18 16384:16384" s="29" customFormat="1" ht="17.25" customHeight="1">
      <c r="A117" s="44"/>
      <c r="B117" s="283" t="s">
        <v>83</v>
      </c>
      <c r="C117" s="284" t="s">
        <v>222</v>
      </c>
      <c r="D117" s="288">
        <v>50000000</v>
      </c>
      <c r="E117" s="285">
        <v>0</v>
      </c>
      <c r="F117" s="285">
        <v>0</v>
      </c>
      <c r="G117" s="286">
        <v>0</v>
      </c>
      <c r="H117" s="285">
        <v>0</v>
      </c>
      <c r="I117" s="286">
        <v>0</v>
      </c>
      <c r="J117" s="285">
        <v>0</v>
      </c>
      <c r="K117" s="285">
        <v>0</v>
      </c>
      <c r="L117" s="285">
        <v>0</v>
      </c>
      <c r="M117" s="285"/>
      <c r="N117" s="162"/>
      <c r="O117" s="659"/>
      <c r="P117" s="659"/>
      <c r="R117" s="659"/>
    </row>
    <row r="118" spans="1:18 16384:16384" s="29" customFormat="1" ht="17.25" customHeight="1">
      <c r="A118" s="63"/>
      <c r="B118" s="64"/>
      <c r="C118" s="65" t="s">
        <v>45</v>
      </c>
      <c r="D118" s="66">
        <f>SUM(D117)</f>
        <v>50000000</v>
      </c>
      <c r="E118" s="66">
        <v>0</v>
      </c>
      <c r="F118" s="66">
        <v>0</v>
      </c>
      <c r="G118" s="122">
        <v>0</v>
      </c>
      <c r="H118" s="66">
        <v>0</v>
      </c>
      <c r="I118" s="122">
        <v>0</v>
      </c>
      <c r="J118" s="66">
        <v>0</v>
      </c>
      <c r="K118" s="66">
        <v>0</v>
      </c>
      <c r="L118" s="66">
        <v>0</v>
      </c>
      <c r="M118" s="66"/>
      <c r="N118" s="162"/>
      <c r="O118" s="659"/>
      <c r="P118" s="659"/>
      <c r="R118" s="659"/>
    </row>
    <row r="119" spans="1:18 16384:16384" s="29" customFormat="1" ht="19.5" customHeight="1" thickBot="1">
      <c r="A119" s="166"/>
      <c r="B119" s="167" t="s">
        <v>85</v>
      </c>
      <c r="C119" s="106"/>
      <c r="D119" s="107">
        <f>D13+D10</f>
        <v>3251325000</v>
      </c>
      <c r="E119" s="107">
        <f>E13+E10</f>
        <v>0</v>
      </c>
      <c r="F119" s="107">
        <f>F13+F10</f>
        <v>0</v>
      </c>
      <c r="G119" s="107">
        <f>G10</f>
        <v>123027992</v>
      </c>
      <c r="H119" s="213">
        <f>G119/D119*100</f>
        <v>3.7839339961400356</v>
      </c>
      <c r="I119" s="107">
        <f>I13+I10</f>
        <v>123027992</v>
      </c>
      <c r="J119" s="213">
        <f>I119/D119*100</f>
        <v>3.7839339961400356</v>
      </c>
      <c r="K119" s="213">
        <f>K13</f>
        <v>0</v>
      </c>
      <c r="L119" s="213"/>
      <c r="M119" s="158"/>
      <c r="N119" s="162"/>
      <c r="O119" s="659"/>
      <c r="P119" s="659"/>
      <c r="R119" s="659"/>
      <c r="XFD119" s="29">
        <f>SUM(A119:XFC119)</f>
        <v>3497380991.5678682</v>
      </c>
    </row>
    <row r="120" spans="1:18 16384:16384" s="29" customFormat="1" ht="18.75" customHeight="1" thickTop="1">
      <c r="A120" s="168"/>
      <c r="B120" s="169"/>
      <c r="C120" s="170"/>
      <c r="D120" s="171"/>
      <c r="E120" s="108"/>
      <c r="F120" s="128"/>
      <c r="G120" s="128"/>
      <c r="H120" s="128"/>
      <c r="I120" s="159" t="s">
        <v>228</v>
      </c>
      <c r="J120" s="128"/>
      <c r="K120" s="128"/>
      <c r="L120" s="128"/>
      <c r="M120" s="128"/>
      <c r="N120" s="162"/>
      <c r="O120" s="659"/>
      <c r="P120" s="659"/>
      <c r="R120" s="659"/>
    </row>
    <row r="121" spans="1:18 16384:16384" s="29" customFormat="1" ht="12" customHeight="1">
      <c r="A121" s="172"/>
      <c r="B121" s="169"/>
      <c r="C121" s="173"/>
      <c r="D121" s="171"/>
      <c r="E121" s="174"/>
      <c r="F121" s="128"/>
      <c r="G121" s="128"/>
      <c r="H121" s="128"/>
      <c r="I121" s="159" t="s">
        <v>86</v>
      </c>
      <c r="J121" s="128"/>
      <c r="K121" s="128"/>
      <c r="L121" s="128"/>
      <c r="M121" s="128"/>
      <c r="N121" s="162"/>
      <c r="O121" s="659"/>
      <c r="P121" s="659"/>
      <c r="R121" s="659"/>
    </row>
    <row r="122" spans="1:18 16384:16384" s="29" customFormat="1" ht="18.75" customHeight="1">
      <c r="A122" s="172"/>
      <c r="B122" s="169"/>
      <c r="C122" s="173"/>
      <c r="D122" s="171"/>
      <c r="E122" s="108"/>
      <c r="F122" s="128"/>
      <c r="G122" s="128"/>
      <c r="H122" s="128"/>
      <c r="I122" s="159"/>
      <c r="J122" s="128"/>
      <c r="K122" s="128"/>
      <c r="L122" s="128"/>
      <c r="M122" s="128"/>
      <c r="N122" s="162"/>
      <c r="O122" s="659"/>
      <c r="P122" s="659"/>
      <c r="R122" s="659"/>
    </row>
    <row r="123" spans="1:18 16384:16384" s="29" customFormat="1" ht="18.75" customHeight="1">
      <c r="A123" s="175"/>
      <c r="B123" s="176"/>
      <c r="C123" s="177"/>
      <c r="D123" s="171"/>
      <c r="E123" s="108"/>
      <c r="F123" s="128"/>
      <c r="G123" s="128" t="s">
        <v>227</v>
      </c>
      <c r="H123" s="128"/>
      <c r="I123" s="160" t="s">
        <v>120</v>
      </c>
      <c r="J123" s="128"/>
      <c r="K123" s="128"/>
      <c r="L123" s="128"/>
      <c r="M123" s="128"/>
      <c r="N123" s="162"/>
      <c r="O123" s="659"/>
      <c r="P123" s="659"/>
      <c r="R123" s="659"/>
    </row>
    <row r="124" spans="1:18 16384:16384" s="29" customFormat="1" ht="16.5" customHeight="1">
      <c r="A124" s="175"/>
      <c r="B124" s="176"/>
      <c r="C124" s="177"/>
      <c r="D124" s="175"/>
      <c r="E124" s="108"/>
      <c r="F124" s="128"/>
      <c r="G124" s="128"/>
      <c r="H124" s="128"/>
      <c r="I124" s="159" t="s">
        <v>108</v>
      </c>
      <c r="J124" s="128"/>
      <c r="K124" s="128"/>
      <c r="L124" s="128"/>
      <c r="M124" s="128"/>
      <c r="N124" s="162"/>
      <c r="O124" s="659"/>
      <c r="P124" s="659"/>
      <c r="R124" s="659"/>
    </row>
    <row r="125" spans="1:18 16384:16384" s="29" customFormat="1" ht="17.25" customHeight="1">
      <c r="A125" s="175"/>
      <c r="B125" s="176"/>
      <c r="C125" s="177"/>
      <c r="D125" s="175"/>
      <c r="E125" s="108"/>
      <c r="F125" s="128"/>
      <c r="G125" s="128"/>
      <c r="H125" s="128"/>
      <c r="I125" s="159" t="s">
        <v>121</v>
      </c>
      <c r="J125" s="128"/>
      <c r="K125" s="128"/>
      <c r="L125" s="128"/>
      <c r="M125" s="128"/>
      <c r="N125" s="162"/>
      <c r="O125" s="659"/>
      <c r="P125" s="659"/>
      <c r="R125" s="659"/>
    </row>
    <row r="126" spans="1:18 16384:16384" s="29" customFormat="1" ht="17.25" customHeight="1">
      <c r="A126" s="175"/>
      <c r="B126" s="176"/>
      <c r="C126" s="177"/>
      <c r="D126" s="175"/>
      <c r="E126" s="108"/>
      <c r="F126" s="128"/>
      <c r="G126" s="128"/>
      <c r="H126" s="128"/>
      <c r="I126" s="159"/>
      <c r="J126" s="128"/>
      <c r="K126" s="128"/>
      <c r="L126" s="128"/>
      <c r="M126" s="128"/>
      <c r="N126" s="162"/>
      <c r="O126" s="659"/>
      <c r="P126" s="659"/>
      <c r="R126" s="659"/>
    </row>
    <row r="127" spans="1:18 16384:16384" s="29" customFormat="1" ht="17.25" customHeight="1">
      <c r="A127" s="175"/>
      <c r="B127" s="176"/>
      <c r="C127" s="177"/>
      <c r="D127" s="175"/>
      <c r="E127" s="108"/>
      <c r="F127" s="128"/>
      <c r="G127" s="128"/>
      <c r="H127" s="128"/>
      <c r="I127" s="159"/>
      <c r="J127" s="128"/>
      <c r="K127" s="128"/>
      <c r="L127" s="128"/>
      <c r="M127" s="128"/>
      <c r="N127" s="162"/>
      <c r="O127" s="659"/>
      <c r="P127" s="659"/>
      <c r="R127" s="659"/>
    </row>
    <row r="128" spans="1:18 16384:16384" s="29" customFormat="1" ht="17.25" customHeight="1">
      <c r="A128" s="175"/>
      <c r="B128" s="176"/>
      <c r="C128" s="177"/>
      <c r="D128" s="175"/>
      <c r="E128" s="108"/>
      <c r="F128" s="128"/>
      <c r="G128" s="128"/>
      <c r="H128" s="128"/>
      <c r="I128" s="159"/>
      <c r="J128" s="128"/>
      <c r="K128" s="128"/>
      <c r="L128" s="128"/>
      <c r="M128" s="128"/>
      <c r="N128" s="162"/>
      <c r="O128" s="659"/>
      <c r="P128" s="659"/>
      <c r="R128" s="659"/>
    </row>
    <row r="129" spans="1:18" s="29" customFormat="1" ht="17.25" customHeight="1">
      <c r="A129" s="175"/>
      <c r="B129" s="176"/>
      <c r="C129" s="177"/>
      <c r="D129" s="175"/>
      <c r="E129" s="108"/>
      <c r="F129" s="128"/>
      <c r="G129" s="128"/>
      <c r="H129" s="128"/>
      <c r="I129" s="159"/>
      <c r="J129" s="128"/>
      <c r="K129" s="128"/>
      <c r="L129" s="128"/>
      <c r="M129" s="128"/>
      <c r="N129" s="162"/>
      <c r="O129" s="659"/>
      <c r="P129" s="659"/>
      <c r="R129" s="659"/>
    </row>
    <row r="130" spans="1:18" ht="15.75">
      <c r="A130" s="832" t="s">
        <v>223</v>
      </c>
      <c r="B130" s="832"/>
      <c r="C130" s="832"/>
      <c r="D130" s="832"/>
      <c r="E130" s="832"/>
      <c r="F130" s="832"/>
      <c r="G130" s="832"/>
      <c r="H130" s="832"/>
      <c r="I130" s="832"/>
      <c r="J130" s="832"/>
      <c r="K130" s="832"/>
      <c r="L130" s="832"/>
      <c r="M130" s="832"/>
    </row>
    <row r="131" spans="1:18" ht="15.75">
      <c r="A131" s="832" t="s">
        <v>224</v>
      </c>
      <c r="B131" s="832"/>
      <c r="C131" s="832"/>
      <c r="D131" s="832"/>
      <c r="E131" s="832"/>
      <c r="F131" s="832"/>
      <c r="G131" s="832"/>
      <c r="H131" s="832"/>
      <c r="I131" s="832"/>
      <c r="J131" s="832"/>
      <c r="K131" s="832"/>
      <c r="L131" s="832"/>
      <c r="M131" s="832"/>
    </row>
    <row r="132" spans="1:18" ht="15.75">
      <c r="A132" s="294"/>
      <c r="B132" s="294"/>
      <c r="C132" s="294"/>
      <c r="D132" s="294"/>
      <c r="E132" s="294"/>
      <c r="F132" s="294"/>
      <c r="G132" s="303"/>
      <c r="H132" s="294"/>
      <c r="I132" s="294"/>
      <c r="J132" s="294"/>
      <c r="K132" s="303"/>
      <c r="L132" s="294"/>
      <c r="M132" s="294"/>
    </row>
    <row r="133" spans="1:18" ht="16.5">
      <c r="A133" s="1" t="s">
        <v>213</v>
      </c>
      <c r="B133" s="2"/>
      <c r="C133" s="3" t="s">
        <v>2</v>
      </c>
      <c r="E133" s="108"/>
      <c r="G133" s="304"/>
      <c r="H133" s="4"/>
      <c r="I133" s="5"/>
      <c r="J133" s="4"/>
      <c r="M133" s="4"/>
    </row>
    <row r="134" spans="1:18" ht="17.25" thickBot="1">
      <c r="A134" s="14" t="s">
        <v>225</v>
      </c>
      <c r="B134" s="14"/>
      <c r="C134" s="292" t="s">
        <v>234</v>
      </c>
      <c r="D134" s="129"/>
      <c r="E134" s="109"/>
      <c r="F134" s="129"/>
      <c r="G134" s="305"/>
      <c r="H134" s="14"/>
      <c r="I134" s="16"/>
      <c r="J134" s="14"/>
      <c r="K134" s="129"/>
      <c r="L134" s="15"/>
      <c r="M134" s="14"/>
    </row>
    <row r="135" spans="1:18" ht="15.75" thickTop="1">
      <c r="A135" s="833" t="s">
        <v>3</v>
      </c>
      <c r="B135" s="836" t="s">
        <v>4</v>
      </c>
      <c r="C135" s="837"/>
      <c r="D135" s="289" t="s">
        <v>5</v>
      </c>
      <c r="E135" s="110" t="s">
        <v>6</v>
      </c>
      <c r="F135" s="130"/>
      <c r="G135" s="842" t="s">
        <v>7</v>
      </c>
      <c r="H135" s="843"/>
      <c r="I135" s="843"/>
      <c r="J135" s="843"/>
      <c r="K135" s="844" t="s">
        <v>8</v>
      </c>
      <c r="L135" s="844"/>
      <c r="M135" s="833" t="s">
        <v>9</v>
      </c>
    </row>
    <row r="136" spans="1:18">
      <c r="A136" s="834"/>
      <c r="B136" s="838"/>
      <c r="C136" s="839"/>
      <c r="D136" s="290" t="s">
        <v>10</v>
      </c>
      <c r="E136" s="111" t="s">
        <v>11</v>
      </c>
      <c r="F136" s="111" t="s">
        <v>12</v>
      </c>
      <c r="G136" s="111" t="s">
        <v>13</v>
      </c>
      <c r="H136" s="845" t="s">
        <v>14</v>
      </c>
      <c r="I136" s="6" t="s">
        <v>15</v>
      </c>
      <c r="J136" s="846" t="s">
        <v>14</v>
      </c>
      <c r="K136" s="321" t="s">
        <v>16</v>
      </c>
      <c r="L136" s="7" t="s">
        <v>17</v>
      </c>
      <c r="M136" s="834"/>
    </row>
    <row r="137" spans="1:18">
      <c r="A137" s="835"/>
      <c r="B137" s="840"/>
      <c r="C137" s="841"/>
      <c r="D137" s="291" t="s">
        <v>18</v>
      </c>
      <c r="E137" s="112" t="s">
        <v>18</v>
      </c>
      <c r="F137" s="112"/>
      <c r="G137" s="306" t="s">
        <v>19</v>
      </c>
      <c r="H137" s="835"/>
      <c r="I137" s="8" t="s">
        <v>19</v>
      </c>
      <c r="J137" s="847"/>
      <c r="K137" s="322" t="s">
        <v>233</v>
      </c>
      <c r="L137" s="9" t="s">
        <v>233</v>
      </c>
      <c r="M137" s="835"/>
    </row>
    <row r="138" spans="1:18" ht="15.75" thickBot="1">
      <c r="A138" s="17">
        <v>1</v>
      </c>
      <c r="B138" s="828">
        <v>2</v>
      </c>
      <c r="C138" s="829"/>
      <c r="D138" s="113">
        <v>3</v>
      </c>
      <c r="E138" s="113">
        <v>4</v>
      </c>
      <c r="F138" s="113">
        <v>5</v>
      </c>
      <c r="G138" s="113">
        <v>6</v>
      </c>
      <c r="H138" s="18">
        <v>7</v>
      </c>
      <c r="I138" s="18">
        <v>8</v>
      </c>
      <c r="J138" s="18">
        <v>9</v>
      </c>
      <c r="K138" s="113">
        <v>10</v>
      </c>
      <c r="L138" s="18">
        <v>11</v>
      </c>
      <c r="M138" s="18">
        <v>12</v>
      </c>
    </row>
    <row r="139" spans="1:18" ht="15.75" thickBot="1">
      <c r="A139" s="35" t="s">
        <v>20</v>
      </c>
      <c r="B139" s="36" t="s">
        <v>21</v>
      </c>
      <c r="C139" s="37"/>
      <c r="D139" s="30">
        <f>D140+D141</f>
        <v>2257113000</v>
      </c>
      <c r="E139" s="30">
        <f>E140</f>
        <v>0</v>
      </c>
      <c r="F139" s="30">
        <v>0</v>
      </c>
      <c r="G139" s="30">
        <f>123027992+113993005</f>
        <v>237020997</v>
      </c>
      <c r="H139" s="214">
        <f>G139/D139*100</f>
        <v>10.501069153383105</v>
      </c>
      <c r="I139" s="30">
        <f>G139</f>
        <v>237020997</v>
      </c>
      <c r="J139" s="217">
        <f>I139/D139*100</f>
        <v>10.501069153383105</v>
      </c>
      <c r="K139" s="332">
        <f>2/12</f>
        <v>0.16666666666666666</v>
      </c>
      <c r="L139" s="215">
        <f>J139</f>
        <v>10.501069153383105</v>
      </c>
      <c r="M139" s="53"/>
    </row>
    <row r="140" spans="1:18" ht="15.75" thickBot="1">
      <c r="A140" s="38" t="s">
        <v>22</v>
      </c>
      <c r="B140" s="39" t="s">
        <v>23</v>
      </c>
      <c r="C140" s="40"/>
      <c r="D140" s="31">
        <v>1872153000</v>
      </c>
      <c r="E140" s="114">
        <v>0</v>
      </c>
      <c r="F140" s="30">
        <v>0</v>
      </c>
      <c r="G140" s="296">
        <f>123027992+113993005</f>
        <v>237020997</v>
      </c>
      <c r="H140" s="214">
        <f>G140/D140*100</f>
        <v>12.660343305274729</v>
      </c>
      <c r="I140" s="296">
        <f>G140</f>
        <v>237020997</v>
      </c>
      <c r="J140" s="217">
        <f>I140/D140*100</f>
        <v>12.660343305274729</v>
      </c>
      <c r="K140" s="335">
        <f>2/12</f>
        <v>0.16666666666666666</v>
      </c>
      <c r="L140" s="338">
        <f>J140</f>
        <v>12.660343305274729</v>
      </c>
      <c r="M140" s="146"/>
    </row>
    <row r="141" spans="1:18" ht="15.75" thickBot="1">
      <c r="A141" s="139"/>
      <c r="B141" s="140" t="s">
        <v>107</v>
      </c>
      <c r="C141" s="141"/>
      <c r="D141" s="31">
        <v>384960000</v>
      </c>
      <c r="E141" s="114">
        <v>0</v>
      </c>
      <c r="F141" s="30">
        <v>0</v>
      </c>
      <c r="G141" s="147">
        <v>0</v>
      </c>
      <c r="H141" s="53">
        <v>0</v>
      </c>
      <c r="I141" s="190">
        <v>0</v>
      </c>
      <c r="J141" s="148">
        <v>0</v>
      </c>
      <c r="K141" s="335">
        <f>2/12</f>
        <v>0.16666666666666666</v>
      </c>
      <c r="L141" s="334">
        <v>0</v>
      </c>
      <c r="M141" s="149"/>
    </row>
    <row r="142" spans="1:18" ht="15.75" thickBot="1">
      <c r="A142" s="35" t="s">
        <v>24</v>
      </c>
      <c r="B142" s="36" t="s">
        <v>25</v>
      </c>
      <c r="C142" s="37"/>
      <c r="D142" s="30">
        <f>D159+D169+D172+D176+D179+D182+D188+D191+D195+D198+D202+D205+D208+D211+D215+D218+D221+D226+D230+D233+D238+D241+D244+D247</f>
        <v>994212000</v>
      </c>
      <c r="E142" s="30">
        <v>0</v>
      </c>
      <c r="F142" s="30">
        <v>0</v>
      </c>
      <c r="G142" s="30">
        <f>G159+G169+G198+G202+G218+G221</f>
        <v>61999826</v>
      </c>
      <c r="H142" s="215">
        <f>G142/D142*100</f>
        <v>6.2360770137556178</v>
      </c>
      <c r="I142" s="296">
        <f>G142</f>
        <v>61999826</v>
      </c>
      <c r="J142" s="217">
        <f>I142/D142*100</f>
        <v>6.2360770137556178</v>
      </c>
      <c r="K142" s="336">
        <f>2/12</f>
        <v>0.16666666666666666</v>
      </c>
      <c r="L142" s="215">
        <f>J142</f>
        <v>6.2360770137556178</v>
      </c>
      <c r="M142" s="30"/>
    </row>
    <row r="143" spans="1:18">
      <c r="A143" s="41" t="s">
        <v>26</v>
      </c>
      <c r="B143" s="42" t="s">
        <v>27</v>
      </c>
      <c r="C143" s="43"/>
      <c r="D143" s="32"/>
      <c r="E143" s="115"/>
      <c r="F143" s="32"/>
      <c r="G143" s="150"/>
      <c r="H143" s="151"/>
      <c r="I143" s="191"/>
      <c r="J143" s="150"/>
      <c r="K143" s="32"/>
      <c r="L143" s="32"/>
      <c r="M143" s="32"/>
    </row>
    <row r="144" spans="1:18">
      <c r="A144" s="44"/>
      <c r="B144" s="45" t="s">
        <v>26</v>
      </c>
      <c r="C144" s="46" t="s">
        <v>28</v>
      </c>
      <c r="D144" s="33">
        <v>6000000</v>
      </c>
      <c r="E144" s="116">
        <v>0</v>
      </c>
      <c r="F144" s="131">
        <v>0</v>
      </c>
      <c r="G144" s="192">
        <v>999000</v>
      </c>
      <c r="H144" s="299">
        <f>G144/D144*100</f>
        <v>16.650000000000002</v>
      </c>
      <c r="I144" s="192">
        <f>G144</f>
        <v>999000</v>
      </c>
      <c r="J144" s="301">
        <f>H144</f>
        <v>16.650000000000002</v>
      </c>
      <c r="K144" s="331">
        <f>2/12</f>
        <v>0.16666666666666666</v>
      </c>
      <c r="L144" s="311">
        <f>J144</f>
        <v>16.650000000000002</v>
      </c>
      <c r="M144" s="131"/>
    </row>
    <row r="145" spans="1:15">
      <c r="A145" s="44"/>
      <c r="B145" s="47" t="s">
        <v>29</v>
      </c>
      <c r="C145" s="48" t="s">
        <v>30</v>
      </c>
      <c r="D145" s="34">
        <v>8000000</v>
      </c>
      <c r="E145" s="297">
        <v>0</v>
      </c>
      <c r="F145" s="132">
        <v>0</v>
      </c>
      <c r="G145" s="192">
        <v>467674</v>
      </c>
      <c r="H145" s="299">
        <f t="shared" ref="H145:H158" si="28">G145/D145*100</f>
        <v>5.8459249999999994</v>
      </c>
      <c r="I145" s="192">
        <v>467674</v>
      </c>
      <c r="J145" s="301">
        <f t="shared" ref="J145:J154" si="29">I145/D145*100</f>
        <v>5.8459249999999994</v>
      </c>
      <c r="K145" s="331">
        <f t="shared" ref="K145:K158" si="30">2/12</f>
        <v>0.16666666666666666</v>
      </c>
      <c r="L145" s="311">
        <f t="shared" ref="L145:L158" si="31">J145</f>
        <v>5.8459249999999994</v>
      </c>
      <c r="M145" s="132"/>
    </row>
    <row r="146" spans="1:15">
      <c r="A146" s="44"/>
      <c r="B146" s="47" t="s">
        <v>29</v>
      </c>
      <c r="C146" s="48" t="s">
        <v>31</v>
      </c>
      <c r="D146" s="34">
        <v>5000000</v>
      </c>
      <c r="E146" s="297">
        <v>0</v>
      </c>
      <c r="F146" s="132">
        <v>0</v>
      </c>
      <c r="G146" s="192">
        <v>307450</v>
      </c>
      <c r="H146" s="299">
        <f t="shared" si="28"/>
        <v>6.149</v>
      </c>
      <c r="I146" s="192">
        <v>307450</v>
      </c>
      <c r="J146" s="301">
        <f t="shared" si="29"/>
        <v>6.149</v>
      </c>
      <c r="K146" s="331">
        <f t="shared" si="30"/>
        <v>0.16666666666666666</v>
      </c>
      <c r="L146" s="311">
        <f t="shared" si="31"/>
        <v>6.149</v>
      </c>
      <c r="M146" s="132"/>
    </row>
    <row r="147" spans="1:15">
      <c r="A147" s="44"/>
      <c r="B147" s="47" t="s">
        <v>29</v>
      </c>
      <c r="C147" s="48" t="s">
        <v>32</v>
      </c>
      <c r="D147" s="34">
        <v>12000000</v>
      </c>
      <c r="E147" s="297">
        <v>0</v>
      </c>
      <c r="F147" s="132">
        <v>0</v>
      </c>
      <c r="G147" s="192">
        <v>1262852</v>
      </c>
      <c r="H147" s="299">
        <f t="shared" si="28"/>
        <v>10.523766666666665</v>
      </c>
      <c r="I147" s="192">
        <v>1262852</v>
      </c>
      <c r="J147" s="301">
        <f t="shared" si="29"/>
        <v>10.523766666666665</v>
      </c>
      <c r="K147" s="331">
        <f t="shared" si="30"/>
        <v>0.16666666666666666</v>
      </c>
      <c r="L147" s="311">
        <f t="shared" si="31"/>
        <v>10.523766666666665</v>
      </c>
      <c r="M147" s="132"/>
    </row>
    <row r="148" spans="1:15">
      <c r="A148" s="44"/>
      <c r="B148" s="47" t="s">
        <v>33</v>
      </c>
      <c r="C148" s="48" t="s">
        <v>34</v>
      </c>
      <c r="D148" s="34">
        <v>12105000</v>
      </c>
      <c r="E148" s="117">
        <v>0</v>
      </c>
      <c r="F148" s="132">
        <v>0</v>
      </c>
      <c r="G148" s="192">
        <v>2000000</v>
      </c>
      <c r="H148" s="299">
        <f t="shared" si="28"/>
        <v>16.522098306484921</v>
      </c>
      <c r="I148" s="192">
        <f>G148</f>
        <v>2000000</v>
      </c>
      <c r="J148" s="301">
        <f t="shared" si="29"/>
        <v>16.522098306484921</v>
      </c>
      <c r="K148" s="331">
        <f t="shared" si="30"/>
        <v>0.16666666666666666</v>
      </c>
      <c r="L148" s="311">
        <f t="shared" si="31"/>
        <v>16.522098306484921</v>
      </c>
      <c r="M148" s="132"/>
    </row>
    <row r="149" spans="1:15">
      <c r="A149" s="44"/>
      <c r="B149" s="47">
        <v>10</v>
      </c>
      <c r="C149" s="48" t="s">
        <v>35</v>
      </c>
      <c r="D149" s="34">
        <v>11895000</v>
      </c>
      <c r="E149" s="117">
        <v>0</v>
      </c>
      <c r="F149" s="132">
        <v>0</v>
      </c>
      <c r="G149" s="192">
        <v>1500000</v>
      </c>
      <c r="H149" s="299">
        <f t="shared" si="28"/>
        <v>12.610340479192939</v>
      </c>
      <c r="I149" s="192">
        <f t="shared" ref="I149:I150" si="32">G149</f>
        <v>1500000</v>
      </c>
      <c r="J149" s="301">
        <f t="shared" si="29"/>
        <v>12.610340479192939</v>
      </c>
      <c r="K149" s="331">
        <f t="shared" si="30"/>
        <v>0.16666666666666666</v>
      </c>
      <c r="L149" s="311">
        <f t="shared" si="31"/>
        <v>12.610340479192939</v>
      </c>
      <c r="M149" s="132"/>
    </row>
    <row r="150" spans="1:15">
      <c r="A150" s="44"/>
      <c r="B150" s="47">
        <v>11</v>
      </c>
      <c r="C150" s="48" t="s">
        <v>36</v>
      </c>
      <c r="D150" s="34">
        <v>6000000</v>
      </c>
      <c r="E150" s="117">
        <v>0</v>
      </c>
      <c r="F150" s="132">
        <v>0</v>
      </c>
      <c r="G150" s="192">
        <v>1000000</v>
      </c>
      <c r="H150" s="299">
        <f t="shared" si="28"/>
        <v>16.666666666666664</v>
      </c>
      <c r="I150" s="192">
        <f t="shared" si="32"/>
        <v>1000000</v>
      </c>
      <c r="J150" s="301">
        <f t="shared" si="29"/>
        <v>16.666666666666664</v>
      </c>
      <c r="K150" s="331">
        <f t="shared" si="30"/>
        <v>0.16666666666666666</v>
      </c>
      <c r="L150" s="311">
        <f t="shared" si="31"/>
        <v>16.666666666666664</v>
      </c>
      <c r="M150" s="132"/>
    </row>
    <row r="151" spans="1:15">
      <c r="A151" s="44"/>
      <c r="B151" s="47">
        <v>11</v>
      </c>
      <c r="C151" s="48" t="s">
        <v>37</v>
      </c>
      <c r="D151" s="34">
        <v>18000000</v>
      </c>
      <c r="E151" s="117">
        <v>0</v>
      </c>
      <c r="F151" s="132">
        <v>0</v>
      </c>
      <c r="G151" s="192">
        <v>2525600</v>
      </c>
      <c r="H151" s="299">
        <f t="shared" si="28"/>
        <v>14.031111111111111</v>
      </c>
      <c r="I151" s="192">
        <f t="shared" ref="I151" si="33">G151</f>
        <v>2525600</v>
      </c>
      <c r="J151" s="301">
        <f t="shared" ref="J151" si="34">I151/D151*100</f>
        <v>14.031111111111111</v>
      </c>
      <c r="K151" s="331">
        <f t="shared" si="30"/>
        <v>0.16666666666666666</v>
      </c>
      <c r="L151" s="311">
        <f t="shared" si="31"/>
        <v>14.031111111111111</v>
      </c>
      <c r="M151" s="132"/>
    </row>
    <row r="152" spans="1:15">
      <c r="A152" s="44"/>
      <c r="B152" s="47">
        <v>12</v>
      </c>
      <c r="C152" s="48" t="s">
        <v>38</v>
      </c>
      <c r="D152" s="34">
        <v>5000000</v>
      </c>
      <c r="E152" s="117">
        <v>0</v>
      </c>
      <c r="F152" s="132">
        <v>0</v>
      </c>
      <c r="G152" s="192">
        <v>1000000</v>
      </c>
      <c r="H152" s="299">
        <f t="shared" si="28"/>
        <v>20</v>
      </c>
      <c r="I152" s="192">
        <f t="shared" ref="I152" si="35">G152</f>
        <v>1000000</v>
      </c>
      <c r="J152" s="301">
        <f t="shared" si="29"/>
        <v>20</v>
      </c>
      <c r="K152" s="331">
        <f t="shared" si="30"/>
        <v>0.16666666666666666</v>
      </c>
      <c r="L152" s="311">
        <f t="shared" si="31"/>
        <v>20</v>
      </c>
      <c r="M152" s="132"/>
    </row>
    <row r="153" spans="1:15">
      <c r="A153" s="44"/>
      <c r="B153" s="47">
        <v>13</v>
      </c>
      <c r="C153" s="48" t="s">
        <v>39</v>
      </c>
      <c r="D153" s="34">
        <v>5000000</v>
      </c>
      <c r="E153" s="117">
        <v>0</v>
      </c>
      <c r="F153" s="132">
        <v>0</v>
      </c>
      <c r="G153" s="192">
        <v>1000000</v>
      </c>
      <c r="H153" s="299">
        <f t="shared" si="28"/>
        <v>20</v>
      </c>
      <c r="I153" s="192">
        <f>G153</f>
        <v>1000000</v>
      </c>
      <c r="J153" s="301">
        <f t="shared" si="29"/>
        <v>20</v>
      </c>
      <c r="K153" s="331">
        <f t="shared" si="30"/>
        <v>0.16666666666666666</v>
      </c>
      <c r="L153" s="311">
        <f t="shared" si="31"/>
        <v>20</v>
      </c>
      <c r="M153" s="132"/>
    </row>
    <row r="154" spans="1:15">
      <c r="A154" s="44"/>
      <c r="B154" s="47">
        <v>15</v>
      </c>
      <c r="C154" s="48" t="s">
        <v>40</v>
      </c>
      <c r="D154" s="34">
        <v>3000000</v>
      </c>
      <c r="E154" s="117">
        <v>0</v>
      </c>
      <c r="F154" s="132">
        <v>0</v>
      </c>
      <c r="G154" s="192">
        <v>260000</v>
      </c>
      <c r="H154" s="299">
        <f t="shared" si="28"/>
        <v>8.6666666666666679</v>
      </c>
      <c r="I154" s="192">
        <f t="shared" ref="I154" si="36">G154</f>
        <v>260000</v>
      </c>
      <c r="J154" s="301">
        <f t="shared" si="29"/>
        <v>8.6666666666666679</v>
      </c>
      <c r="K154" s="331">
        <f t="shared" si="30"/>
        <v>0.16666666666666666</v>
      </c>
      <c r="L154" s="311">
        <f t="shared" si="31"/>
        <v>8.6666666666666679</v>
      </c>
      <c r="M154" s="132"/>
    </row>
    <row r="155" spans="1:15">
      <c r="A155" s="44"/>
      <c r="B155" s="47">
        <v>17</v>
      </c>
      <c r="C155" s="48" t="s">
        <v>41</v>
      </c>
      <c r="D155" s="34">
        <v>5000000</v>
      </c>
      <c r="E155" s="117">
        <v>0</v>
      </c>
      <c r="F155" s="132">
        <v>0</v>
      </c>
      <c r="G155" s="192">
        <v>1000000</v>
      </c>
      <c r="H155" s="299">
        <f t="shared" si="28"/>
        <v>20</v>
      </c>
      <c r="I155" s="192">
        <f t="shared" ref="I155" si="37">G155</f>
        <v>1000000</v>
      </c>
      <c r="J155" s="301">
        <f t="shared" ref="J155" si="38">I155/D155*100</f>
        <v>20</v>
      </c>
      <c r="K155" s="331">
        <f t="shared" si="30"/>
        <v>0.16666666666666666</v>
      </c>
      <c r="L155" s="311">
        <f t="shared" si="31"/>
        <v>20</v>
      </c>
      <c r="M155" s="132"/>
    </row>
    <row r="156" spans="1:15">
      <c r="A156" s="44"/>
      <c r="B156" s="47">
        <v>17</v>
      </c>
      <c r="C156" s="48" t="s">
        <v>42</v>
      </c>
      <c r="D156" s="34">
        <v>7000000</v>
      </c>
      <c r="E156" s="117">
        <v>0</v>
      </c>
      <c r="F156" s="132">
        <v>0</v>
      </c>
      <c r="G156" s="192">
        <v>1200000</v>
      </c>
      <c r="H156" s="299">
        <f t="shared" si="28"/>
        <v>17.142857142857142</v>
      </c>
      <c r="I156" s="192">
        <f>G156</f>
        <v>1200000</v>
      </c>
      <c r="J156" s="301">
        <f>I156/D156*100</f>
        <v>17.142857142857142</v>
      </c>
      <c r="K156" s="331">
        <f t="shared" si="30"/>
        <v>0.16666666666666666</v>
      </c>
      <c r="L156" s="311">
        <f t="shared" si="31"/>
        <v>17.142857142857142</v>
      </c>
      <c r="M156" s="132"/>
    </row>
    <row r="157" spans="1:15">
      <c r="A157" s="44"/>
      <c r="B157" s="47">
        <v>18</v>
      </c>
      <c r="C157" s="48" t="s">
        <v>43</v>
      </c>
      <c r="D157" s="34">
        <v>15000000</v>
      </c>
      <c r="E157" s="117">
        <v>0</v>
      </c>
      <c r="F157" s="132">
        <v>0</v>
      </c>
      <c r="G157" s="192">
        <v>1450000</v>
      </c>
      <c r="H157" s="299">
        <f t="shared" si="28"/>
        <v>9.6666666666666661</v>
      </c>
      <c r="I157" s="192">
        <f>G157</f>
        <v>1450000</v>
      </c>
      <c r="J157" s="301">
        <f t="shared" ref="J157:J158" si="39">I157/D157*100</f>
        <v>9.6666666666666661</v>
      </c>
      <c r="K157" s="331">
        <f t="shared" si="30"/>
        <v>0.16666666666666666</v>
      </c>
      <c r="L157" s="311">
        <f t="shared" si="31"/>
        <v>9.6666666666666661</v>
      </c>
      <c r="M157" s="132"/>
    </row>
    <row r="158" spans="1:15" ht="15.75" thickBot="1">
      <c r="A158" s="44"/>
      <c r="B158" s="49">
        <v>19</v>
      </c>
      <c r="C158" s="50" t="s">
        <v>44</v>
      </c>
      <c r="D158" s="51">
        <v>51212000</v>
      </c>
      <c r="E158" s="298"/>
      <c r="F158" s="133">
        <v>0</v>
      </c>
      <c r="G158" s="192">
        <v>51000</v>
      </c>
      <c r="H158" s="300">
        <f t="shared" si="28"/>
        <v>9.9586034523158631E-2</v>
      </c>
      <c r="I158" s="192">
        <f t="shared" ref="I158" si="40">G158</f>
        <v>51000</v>
      </c>
      <c r="J158" s="301">
        <f t="shared" si="39"/>
        <v>9.9586034523158631E-2</v>
      </c>
      <c r="K158" s="331">
        <f t="shared" si="30"/>
        <v>0.16666666666666666</v>
      </c>
      <c r="L158" s="311">
        <f t="shared" si="31"/>
        <v>9.9586034523158631E-2</v>
      </c>
      <c r="M158" s="133"/>
    </row>
    <row r="159" spans="1:15" ht="15.75" thickBot="1">
      <c r="A159" s="35"/>
      <c r="B159" s="52"/>
      <c r="C159" s="37" t="s">
        <v>45</v>
      </c>
      <c r="D159" s="53">
        <f>SUM(D144:D158)</f>
        <v>170212000</v>
      </c>
      <c r="E159" s="53">
        <f>SUM(E144:E158)</f>
        <v>0</v>
      </c>
      <c r="F159" s="53">
        <f t="shared" ref="F159:I159" si="41">SUM(F144:F158)</f>
        <v>0</v>
      </c>
      <c r="G159" s="53">
        <f>SUM(G144:G158)</f>
        <v>16023576</v>
      </c>
      <c r="H159" s="214">
        <f>G159/D159*100</f>
        <v>9.4138932625196823</v>
      </c>
      <c r="I159" s="194">
        <f t="shared" si="41"/>
        <v>16023576</v>
      </c>
      <c r="J159" s="214">
        <f>I159/D159*100</f>
        <v>9.4138932625196823</v>
      </c>
      <c r="K159" s="332">
        <f>2/12</f>
        <v>0.16666666666666666</v>
      </c>
      <c r="L159" s="214">
        <f>J159</f>
        <v>9.4138932625196823</v>
      </c>
      <c r="M159" s="53"/>
      <c r="O159" s="544">
        <v>16023576</v>
      </c>
    </row>
    <row r="160" spans="1:15">
      <c r="A160" s="54" t="s">
        <v>29</v>
      </c>
      <c r="B160" s="55" t="s">
        <v>90</v>
      </c>
      <c r="C160" s="56"/>
      <c r="D160" s="57"/>
      <c r="E160" s="119"/>
      <c r="F160" s="131"/>
      <c r="G160" s="152"/>
      <c r="H160" s="152"/>
      <c r="I160" s="119"/>
      <c r="J160" s="152"/>
      <c r="K160" s="152"/>
      <c r="L160" s="152"/>
      <c r="M160" s="131"/>
      <c r="O160" s="544">
        <v>10001250</v>
      </c>
    </row>
    <row r="161" spans="1:15">
      <c r="A161" s="279"/>
      <c r="B161" s="47" t="s">
        <v>53</v>
      </c>
      <c r="C161" s="46" t="s">
        <v>216</v>
      </c>
      <c r="D161" s="80">
        <v>40000000</v>
      </c>
      <c r="E161" s="119"/>
      <c r="F161" s="131"/>
      <c r="G161" s="152"/>
      <c r="H161" s="152"/>
      <c r="I161" s="119"/>
      <c r="J161" s="152"/>
      <c r="K161" s="331">
        <f>2/12</f>
        <v>0.16666666666666666</v>
      </c>
      <c r="L161" s="152">
        <v>0</v>
      </c>
      <c r="M161" s="131"/>
      <c r="O161" s="544">
        <v>5000000</v>
      </c>
    </row>
    <row r="162" spans="1:15">
      <c r="A162" s="44"/>
      <c r="B162" s="47" t="s">
        <v>46</v>
      </c>
      <c r="C162" s="58" t="s">
        <v>110</v>
      </c>
      <c r="D162" s="59">
        <v>20000000</v>
      </c>
      <c r="E162" s="120">
        <v>0</v>
      </c>
      <c r="F162" s="132">
        <v>0</v>
      </c>
      <c r="G162" s="119">
        <v>0</v>
      </c>
      <c r="H162" s="59" t="s">
        <v>132</v>
      </c>
      <c r="I162" s="119">
        <f>G162</f>
        <v>0</v>
      </c>
      <c r="J162" s="59" t="s">
        <v>132</v>
      </c>
      <c r="K162" s="152">
        <v>0</v>
      </c>
      <c r="L162" s="59">
        <v>0</v>
      </c>
      <c r="M162" s="132"/>
      <c r="O162" s="544">
        <v>15000000</v>
      </c>
    </row>
    <row r="163" spans="1:15">
      <c r="A163" s="44"/>
      <c r="B163" s="47">
        <v>21</v>
      </c>
      <c r="C163" s="48" t="s">
        <v>47</v>
      </c>
      <c r="D163" s="59">
        <v>30000000</v>
      </c>
      <c r="E163" s="120">
        <v>0</v>
      </c>
      <c r="F163" s="132">
        <v>0</v>
      </c>
      <c r="G163" s="206">
        <v>0</v>
      </c>
      <c r="H163" s="59" t="s">
        <v>132</v>
      </c>
      <c r="I163" s="119">
        <f t="shared" ref="I163:I164" si="42">G163</f>
        <v>0</v>
      </c>
      <c r="J163" s="59" t="s">
        <v>132</v>
      </c>
      <c r="K163" s="59">
        <v>0</v>
      </c>
      <c r="L163" s="59">
        <v>0</v>
      </c>
      <c r="M163" s="132"/>
      <c r="O163" s="544">
        <v>15000000</v>
      </c>
    </row>
    <row r="164" spans="1:15">
      <c r="A164" s="44"/>
      <c r="B164" s="47">
        <v>22</v>
      </c>
      <c r="C164" s="48" t="s">
        <v>48</v>
      </c>
      <c r="D164" s="60">
        <v>30000000</v>
      </c>
      <c r="E164" s="120">
        <v>0</v>
      </c>
      <c r="F164" s="132">
        <v>0</v>
      </c>
      <c r="G164" s="206">
        <v>0</v>
      </c>
      <c r="H164" s="59" t="s">
        <v>132</v>
      </c>
      <c r="I164" s="119">
        <f t="shared" si="42"/>
        <v>0</v>
      </c>
      <c r="J164" s="59" t="s">
        <v>132</v>
      </c>
      <c r="K164" s="59">
        <v>0</v>
      </c>
      <c r="L164" s="59">
        <v>0</v>
      </c>
      <c r="M164" s="154"/>
      <c r="O164" s="544">
        <v>975000</v>
      </c>
    </row>
    <row r="165" spans="1:15">
      <c r="A165" s="44"/>
      <c r="B165" s="47">
        <v>24</v>
      </c>
      <c r="C165" s="48" t="s">
        <v>49</v>
      </c>
      <c r="D165" s="60">
        <v>35000000</v>
      </c>
      <c r="E165" s="120">
        <v>0</v>
      </c>
      <c r="F165" s="132">
        <v>0</v>
      </c>
      <c r="G165" s="206">
        <v>6051250</v>
      </c>
      <c r="H165" s="299">
        <f t="shared" ref="H165" si="43">G165/D165*100</f>
        <v>17.289285714285715</v>
      </c>
      <c r="I165" s="192">
        <f>G165</f>
        <v>6051250</v>
      </c>
      <c r="J165" s="301">
        <f t="shared" ref="J165" si="44">I165/D165*100</f>
        <v>17.289285714285715</v>
      </c>
      <c r="K165" s="331">
        <f>2/12</f>
        <v>0.16666666666666666</v>
      </c>
      <c r="L165" s="311">
        <f>J165</f>
        <v>17.289285714285715</v>
      </c>
      <c r="M165" s="132"/>
      <c r="O165" s="544">
        <f>SUM(O159:O164)</f>
        <v>61999826</v>
      </c>
    </row>
    <row r="166" spans="1:15">
      <c r="A166" s="44"/>
      <c r="B166" s="47">
        <v>26</v>
      </c>
      <c r="C166" s="48" t="s">
        <v>50</v>
      </c>
      <c r="D166" s="60">
        <v>4000000</v>
      </c>
      <c r="E166" s="120">
        <v>0</v>
      </c>
      <c r="F166" s="132">
        <v>0</v>
      </c>
      <c r="G166" s="206">
        <v>800000</v>
      </c>
      <c r="H166" s="299">
        <f t="shared" ref="H166:H167" si="45">G166/D166*100</f>
        <v>20</v>
      </c>
      <c r="I166" s="192">
        <f t="shared" ref="I166:I167" si="46">G166</f>
        <v>800000</v>
      </c>
      <c r="J166" s="301">
        <f t="shared" ref="J166:J167" si="47">I166/D166*100</f>
        <v>20</v>
      </c>
      <c r="K166" s="331">
        <f t="shared" ref="K166:K168" si="48">2/12</f>
        <v>0.16666666666666666</v>
      </c>
      <c r="L166" s="311">
        <f t="shared" ref="L166:L168" si="49">J166</f>
        <v>20</v>
      </c>
      <c r="M166" s="132"/>
      <c r="O166" s="544">
        <f>O165-N141</f>
        <v>61999826</v>
      </c>
    </row>
    <row r="167" spans="1:15">
      <c r="A167" s="44"/>
      <c r="B167" s="47">
        <v>28</v>
      </c>
      <c r="C167" s="48" t="s">
        <v>51</v>
      </c>
      <c r="D167" s="60">
        <v>12000000</v>
      </c>
      <c r="E167" s="120">
        <v>0</v>
      </c>
      <c r="F167" s="132">
        <v>0</v>
      </c>
      <c r="G167" s="206">
        <f>300000+300000+2250000</f>
        <v>2850000</v>
      </c>
      <c r="H167" s="299">
        <f t="shared" si="45"/>
        <v>23.75</v>
      </c>
      <c r="I167" s="192">
        <f t="shared" si="46"/>
        <v>2850000</v>
      </c>
      <c r="J167" s="301">
        <f t="shared" si="47"/>
        <v>23.75</v>
      </c>
      <c r="K167" s="331">
        <f t="shared" si="48"/>
        <v>0.16666666666666666</v>
      </c>
      <c r="L167" s="311">
        <f t="shared" si="49"/>
        <v>23.75</v>
      </c>
      <c r="M167" s="132"/>
    </row>
    <row r="168" spans="1:15" ht="15.75" thickBot="1">
      <c r="A168" s="44"/>
      <c r="B168" s="61">
        <v>29</v>
      </c>
      <c r="C168" s="50" t="s">
        <v>52</v>
      </c>
      <c r="D168" s="62">
        <v>2000000</v>
      </c>
      <c r="E168" s="121">
        <v>0</v>
      </c>
      <c r="F168" s="133">
        <v>0</v>
      </c>
      <c r="G168" s="206">
        <f>200000+100000</f>
        <v>300000</v>
      </c>
      <c r="H168" s="299">
        <f>G168/D168*100</f>
        <v>15</v>
      </c>
      <c r="I168" s="192">
        <f t="shared" ref="I168" si="50">G168</f>
        <v>300000</v>
      </c>
      <c r="J168" s="301">
        <f t="shared" ref="J168" si="51">I168/D168*100</f>
        <v>15</v>
      </c>
      <c r="K168" s="331">
        <f t="shared" si="48"/>
        <v>0.16666666666666666</v>
      </c>
      <c r="L168" s="311">
        <f t="shared" si="49"/>
        <v>15</v>
      </c>
      <c r="M168" s="133"/>
    </row>
    <row r="169" spans="1:15">
      <c r="A169" s="63"/>
      <c r="B169" s="64"/>
      <c r="C169" s="65" t="s">
        <v>45</v>
      </c>
      <c r="D169" s="66">
        <f>SUM(D161:D168)</f>
        <v>173000000</v>
      </c>
      <c r="E169" s="122"/>
      <c r="F169" s="66"/>
      <c r="G169" s="318">
        <f>SUM(G161:G168)</f>
        <v>10001250</v>
      </c>
      <c r="H169" s="319">
        <f>G169/D169*100</f>
        <v>5.7810693641618496</v>
      </c>
      <c r="I169" s="320">
        <f>SUM(I161:I168)</f>
        <v>10001250</v>
      </c>
      <c r="J169" s="319">
        <f>I169/D169*100</f>
        <v>5.7810693641618496</v>
      </c>
      <c r="K169" s="333">
        <f>2/12</f>
        <v>0.16666666666666666</v>
      </c>
      <c r="L169" s="302">
        <f>J169</f>
        <v>5.7810693641618496</v>
      </c>
      <c r="M169" s="66"/>
    </row>
    <row r="170" spans="1:15">
      <c r="A170" s="67" t="s">
        <v>53</v>
      </c>
      <c r="B170" s="68" t="s">
        <v>54</v>
      </c>
      <c r="C170" s="69"/>
      <c r="D170" s="70"/>
      <c r="E170" s="123"/>
      <c r="F170" s="134"/>
      <c r="G170" s="164"/>
      <c r="H170" s="148"/>
      <c r="I170" s="164"/>
      <c r="J170" s="152"/>
      <c r="K170" s="152"/>
      <c r="L170" s="156"/>
      <c r="M170" s="134"/>
    </row>
    <row r="171" spans="1:15">
      <c r="A171" s="44"/>
      <c r="B171" s="47" t="s">
        <v>26</v>
      </c>
      <c r="C171" s="48" t="s">
        <v>55</v>
      </c>
      <c r="D171" s="60">
        <v>25000000</v>
      </c>
      <c r="E171" s="120">
        <v>0</v>
      </c>
      <c r="F171" s="208">
        <v>0</v>
      </c>
      <c r="G171" s="197" t="s">
        <v>132</v>
      </c>
      <c r="H171" s="59" t="s">
        <v>132</v>
      </c>
      <c r="I171" s="197" t="s">
        <v>132</v>
      </c>
      <c r="J171" s="59" t="s">
        <v>132</v>
      </c>
      <c r="K171" s="59">
        <v>0</v>
      </c>
      <c r="L171" s="59">
        <v>0</v>
      </c>
      <c r="M171" s="132"/>
    </row>
    <row r="172" spans="1:15">
      <c r="A172" s="63"/>
      <c r="B172" s="71"/>
      <c r="C172" s="65" t="s">
        <v>45</v>
      </c>
      <c r="D172" s="66">
        <f>SUM(D171:D171)</f>
        <v>25000000</v>
      </c>
      <c r="E172" s="122">
        <f>SUM(E171:E171)</f>
        <v>0</v>
      </c>
      <c r="F172" s="202">
        <f>SUM(F171:F171)</f>
        <v>0</v>
      </c>
      <c r="G172" s="122" t="s">
        <v>132</v>
      </c>
      <c r="H172" s="66" t="s">
        <v>132</v>
      </c>
      <c r="I172" s="122" t="s">
        <v>132</v>
      </c>
      <c r="J172" s="155" t="s">
        <v>132</v>
      </c>
      <c r="K172" s="66">
        <f>SUM(K171:K171)</f>
        <v>0</v>
      </c>
      <c r="L172" s="66">
        <f>SUM(L171:L171)</f>
        <v>0</v>
      </c>
      <c r="M172" s="66"/>
    </row>
    <row r="173" spans="1:15">
      <c r="A173" s="44">
        <v>15</v>
      </c>
      <c r="B173" s="72" t="s">
        <v>61</v>
      </c>
      <c r="C173" s="73"/>
      <c r="D173" s="57"/>
      <c r="E173" s="119"/>
      <c r="F173" s="209"/>
      <c r="G173" s="119" t="s">
        <v>132</v>
      </c>
      <c r="H173" s="152" t="s">
        <v>132</v>
      </c>
      <c r="I173" s="119" t="s">
        <v>132</v>
      </c>
      <c r="J173" s="152" t="s">
        <v>132</v>
      </c>
      <c r="K173" s="152"/>
      <c r="L173" s="152"/>
      <c r="M173" s="131"/>
    </row>
    <row r="174" spans="1:15">
      <c r="A174" s="44"/>
      <c r="B174" s="47">
        <v>18</v>
      </c>
      <c r="C174" s="48" t="s">
        <v>62</v>
      </c>
      <c r="D174" s="60">
        <v>5000000</v>
      </c>
      <c r="E174" s="120">
        <v>0</v>
      </c>
      <c r="F174" s="208">
        <v>0</v>
      </c>
      <c r="G174" s="120" t="s">
        <v>132</v>
      </c>
      <c r="H174" s="59" t="s">
        <v>132</v>
      </c>
      <c r="I174" s="120" t="s">
        <v>132</v>
      </c>
      <c r="J174" s="59" t="s">
        <v>132</v>
      </c>
      <c r="K174" s="59">
        <v>0</v>
      </c>
      <c r="L174" s="59">
        <v>0</v>
      </c>
      <c r="M174" s="132"/>
    </row>
    <row r="175" spans="1:15" ht="25.5">
      <c r="A175" s="44"/>
      <c r="B175" s="49">
        <v>63</v>
      </c>
      <c r="C175" s="74" t="s">
        <v>63</v>
      </c>
      <c r="D175" s="62">
        <v>5000000</v>
      </c>
      <c r="E175" s="121">
        <v>0</v>
      </c>
      <c r="F175" s="210">
        <v>0</v>
      </c>
      <c r="G175" s="121" t="s">
        <v>132</v>
      </c>
      <c r="H175" s="153" t="s">
        <v>132</v>
      </c>
      <c r="I175" s="121" t="s">
        <v>132</v>
      </c>
      <c r="J175" s="153" t="s">
        <v>132</v>
      </c>
      <c r="K175" s="59">
        <v>0</v>
      </c>
      <c r="L175" s="153">
        <v>0</v>
      </c>
      <c r="M175" s="133"/>
    </row>
    <row r="176" spans="1:15">
      <c r="A176" s="63"/>
      <c r="B176" s="64"/>
      <c r="C176" s="65" t="s">
        <v>45</v>
      </c>
      <c r="D176" s="66">
        <f>SUM(D174:D175)</f>
        <v>10000000</v>
      </c>
      <c r="E176" s="122">
        <f t="shared" ref="E176" si="52">SUM(E174:E175)</f>
        <v>0</v>
      </c>
      <c r="F176" s="202">
        <f>SUM(F174:F175)</f>
        <v>0</v>
      </c>
      <c r="G176" s="195" t="s">
        <v>132</v>
      </c>
      <c r="H176" s="66" t="s">
        <v>132</v>
      </c>
      <c r="I176" s="195" t="s">
        <v>132</v>
      </c>
      <c r="J176" s="155" t="s">
        <v>132</v>
      </c>
      <c r="K176" s="66">
        <f t="shared" ref="K176:L176" si="53">SUM(K174:K175)</f>
        <v>0</v>
      </c>
      <c r="L176" s="66">
        <f t="shared" si="53"/>
        <v>0</v>
      </c>
      <c r="M176" s="66"/>
    </row>
    <row r="177" spans="1:13">
      <c r="A177" s="44">
        <v>30</v>
      </c>
      <c r="B177" s="77" t="s">
        <v>64</v>
      </c>
      <c r="C177" s="78"/>
      <c r="D177" s="57"/>
      <c r="E177" s="119"/>
      <c r="F177" s="209"/>
      <c r="G177" s="119"/>
      <c r="H177" s="152"/>
      <c r="I177" s="119"/>
      <c r="J177" s="152"/>
      <c r="K177" s="152"/>
      <c r="L177" s="152"/>
      <c r="M177" s="131"/>
    </row>
    <row r="178" spans="1:13">
      <c r="A178" s="44"/>
      <c r="B178" s="45">
        <v>2</v>
      </c>
      <c r="C178" s="79" t="s">
        <v>102</v>
      </c>
      <c r="D178" s="80">
        <v>200000000</v>
      </c>
      <c r="E178" s="124">
        <v>0</v>
      </c>
      <c r="F178" s="209">
        <v>0</v>
      </c>
      <c r="G178" s="124">
        <v>0</v>
      </c>
      <c r="H178" s="152">
        <v>0</v>
      </c>
      <c r="I178" s="120" t="s">
        <v>132</v>
      </c>
      <c r="J178" s="152" t="s">
        <v>132</v>
      </c>
      <c r="K178" s="59">
        <v>0</v>
      </c>
      <c r="L178" s="152"/>
      <c r="M178" s="131"/>
    </row>
    <row r="179" spans="1:13">
      <c r="A179" s="63"/>
      <c r="B179" s="64"/>
      <c r="C179" s="65" t="s">
        <v>45</v>
      </c>
      <c r="D179" s="66">
        <f>SUM(D177:D178)</f>
        <v>200000000</v>
      </c>
      <c r="E179" s="66">
        <f>SUM(E177:E178)</f>
        <v>0</v>
      </c>
      <c r="F179" s="202">
        <f>SUM(F177:F178)</f>
        <v>0</v>
      </c>
      <c r="G179" s="122" t="s">
        <v>132</v>
      </c>
      <c r="H179" s="66" t="s">
        <v>132</v>
      </c>
      <c r="I179" s="122" t="s">
        <v>132</v>
      </c>
      <c r="J179" s="66" t="s">
        <v>132</v>
      </c>
      <c r="K179" s="66">
        <f>SUM(K177:K178)</f>
        <v>0</v>
      </c>
      <c r="L179" s="66">
        <f t="shared" ref="L179" si="54">SUM(L177:L178)</f>
        <v>0</v>
      </c>
      <c r="M179" s="66"/>
    </row>
    <row r="180" spans="1:13">
      <c r="A180" s="44">
        <v>21</v>
      </c>
      <c r="B180" s="81" t="s">
        <v>65</v>
      </c>
      <c r="C180" s="82"/>
      <c r="D180" s="57"/>
      <c r="E180" s="119"/>
      <c r="F180" s="209"/>
      <c r="G180" s="119"/>
      <c r="H180" s="152"/>
      <c r="I180" s="119"/>
      <c r="J180" s="152"/>
      <c r="K180" s="152"/>
      <c r="L180" s="152"/>
      <c r="M180" s="131"/>
    </row>
    <row r="181" spans="1:13">
      <c r="A181" s="44"/>
      <c r="B181" s="47" t="s">
        <v>46</v>
      </c>
      <c r="C181" s="48" t="s">
        <v>66</v>
      </c>
      <c r="D181" s="60">
        <v>20000000</v>
      </c>
      <c r="E181" s="125">
        <v>0</v>
      </c>
      <c r="F181" s="211">
        <v>0</v>
      </c>
      <c r="G181" s="199" t="s">
        <v>132</v>
      </c>
      <c r="H181" s="59" t="s">
        <v>132</v>
      </c>
      <c r="I181" s="197" t="s">
        <v>132</v>
      </c>
      <c r="J181" s="59" t="s">
        <v>132</v>
      </c>
      <c r="K181" s="59">
        <v>0</v>
      </c>
      <c r="L181" s="59">
        <v>0</v>
      </c>
      <c r="M181" s="132"/>
    </row>
    <row r="182" spans="1:13">
      <c r="A182" s="63"/>
      <c r="B182" s="83"/>
      <c r="C182" s="65" t="s">
        <v>45</v>
      </c>
      <c r="D182" s="66">
        <f>SUM(D181:D181)</f>
        <v>20000000</v>
      </c>
      <c r="E182" s="66">
        <f t="shared" ref="E182:F182" si="55">SUM(E179:E181)</f>
        <v>0</v>
      </c>
      <c r="F182" s="202">
        <f t="shared" si="55"/>
        <v>0</v>
      </c>
      <c r="G182" s="122" t="s">
        <v>132</v>
      </c>
      <c r="H182" s="66" t="s">
        <v>132</v>
      </c>
      <c r="I182" s="122" t="s">
        <v>132</v>
      </c>
      <c r="J182" s="66" t="s">
        <v>132</v>
      </c>
      <c r="K182" s="66">
        <f>SUM(K181)</f>
        <v>0</v>
      </c>
      <c r="L182" s="66">
        <f t="shared" ref="L182" si="56">SUM(L179:L181)</f>
        <v>0</v>
      </c>
      <c r="M182" s="66"/>
    </row>
    <row r="183" spans="1:13">
      <c r="A183" s="84">
        <v>18</v>
      </c>
      <c r="B183" s="826" t="s">
        <v>96</v>
      </c>
      <c r="C183" s="827"/>
      <c r="D183" s="57"/>
      <c r="E183" s="119"/>
      <c r="F183" s="209"/>
      <c r="G183" s="119"/>
      <c r="H183" s="152"/>
      <c r="I183" s="119"/>
      <c r="J183" s="152"/>
      <c r="K183" s="152"/>
      <c r="L183" s="152"/>
      <c r="M183" s="131"/>
    </row>
    <row r="184" spans="1:13">
      <c r="A184" s="84"/>
      <c r="B184" s="830" t="s">
        <v>95</v>
      </c>
      <c r="C184" s="831"/>
      <c r="D184" s="57"/>
      <c r="E184" s="124"/>
      <c r="F184" s="209"/>
      <c r="G184" s="119"/>
      <c r="H184" s="152"/>
      <c r="I184" s="119"/>
      <c r="J184" s="152"/>
      <c r="K184" s="152"/>
      <c r="L184" s="152"/>
      <c r="M184" s="131"/>
    </row>
    <row r="185" spans="1:13">
      <c r="A185" s="44"/>
      <c r="B185" s="47" t="s">
        <v>26</v>
      </c>
      <c r="C185" s="48" t="s">
        <v>67</v>
      </c>
      <c r="D185" s="60">
        <v>20000000</v>
      </c>
      <c r="E185" s="125">
        <v>0</v>
      </c>
      <c r="F185" s="211">
        <v>0</v>
      </c>
      <c r="G185" s="199" t="s">
        <v>132</v>
      </c>
      <c r="H185" s="59" t="s">
        <v>132</v>
      </c>
      <c r="I185" s="119" t="str">
        <f t="shared" ref="I185" si="57">G185</f>
        <v>-</v>
      </c>
      <c r="J185" s="59" t="s">
        <v>132</v>
      </c>
      <c r="K185" s="59">
        <v>0</v>
      </c>
      <c r="L185" s="59">
        <v>0</v>
      </c>
      <c r="M185" s="132"/>
    </row>
    <row r="186" spans="1:13">
      <c r="A186" s="44"/>
      <c r="B186" s="47" t="s">
        <v>29</v>
      </c>
      <c r="C186" s="204" t="s">
        <v>220</v>
      </c>
      <c r="D186" s="179">
        <v>7000000</v>
      </c>
      <c r="E186" s="180">
        <v>0</v>
      </c>
      <c r="F186" s="181">
        <v>0</v>
      </c>
      <c r="G186" s="207" t="s">
        <v>132</v>
      </c>
      <c r="H186" s="148" t="s">
        <v>132</v>
      </c>
      <c r="I186" s="119" t="s">
        <v>132</v>
      </c>
      <c r="J186" s="148" t="s">
        <v>132</v>
      </c>
      <c r="K186" s="59">
        <v>0</v>
      </c>
      <c r="L186" s="148">
        <v>0</v>
      </c>
      <c r="M186" s="165"/>
    </row>
    <row r="187" spans="1:13">
      <c r="A187" s="44"/>
      <c r="B187" s="47"/>
      <c r="C187" s="48" t="s">
        <v>117</v>
      </c>
      <c r="D187" s="60"/>
      <c r="E187" s="125"/>
      <c r="F187" s="135"/>
      <c r="G187" s="199"/>
      <c r="H187" s="59"/>
      <c r="I187" s="197"/>
      <c r="J187" s="59"/>
      <c r="K187" s="59"/>
      <c r="L187" s="59"/>
      <c r="M187" s="132"/>
    </row>
    <row r="188" spans="1:13">
      <c r="A188" s="63"/>
      <c r="B188" s="71"/>
      <c r="C188" s="65" t="s">
        <v>45</v>
      </c>
      <c r="D188" s="66">
        <f>SUM(D185:D187)</f>
        <v>27000000</v>
      </c>
      <c r="E188" s="66">
        <f t="shared" ref="E188" si="58">SUM(E185:E185)</f>
        <v>0</v>
      </c>
      <c r="F188" s="66">
        <f>SUM(F185:F185)</f>
        <v>0</v>
      </c>
      <c r="G188" s="122" t="s">
        <v>132</v>
      </c>
      <c r="H188" s="66" t="s">
        <v>132</v>
      </c>
      <c r="I188" s="122" t="s">
        <v>132</v>
      </c>
      <c r="J188" s="66" t="s">
        <v>132</v>
      </c>
      <c r="K188" s="66">
        <f>SUM(K185:K187)</f>
        <v>0</v>
      </c>
      <c r="L188" s="66">
        <f t="shared" ref="L188" si="59">SUM(L185:L185)</f>
        <v>0</v>
      </c>
      <c r="M188" s="66"/>
    </row>
    <row r="189" spans="1:13">
      <c r="A189" s="84">
        <v>17</v>
      </c>
      <c r="B189" s="826" t="s">
        <v>130</v>
      </c>
      <c r="C189" s="827"/>
      <c r="D189" s="57"/>
      <c r="E189" s="119"/>
      <c r="F189" s="131"/>
      <c r="G189" s="119"/>
      <c r="H189" s="152"/>
      <c r="I189" s="119"/>
      <c r="J189" s="152"/>
      <c r="K189" s="152"/>
      <c r="L189" s="152"/>
      <c r="M189" s="131"/>
    </row>
    <row r="190" spans="1:13">
      <c r="A190" s="44"/>
      <c r="B190" s="47" t="s">
        <v>53</v>
      </c>
      <c r="C190" s="48" t="s">
        <v>131</v>
      </c>
      <c r="D190" s="60">
        <v>24000000</v>
      </c>
      <c r="E190" s="125">
        <v>0</v>
      </c>
      <c r="F190" s="135">
        <v>0</v>
      </c>
      <c r="G190" s="197" t="s">
        <v>132</v>
      </c>
      <c r="H190" s="59" t="s">
        <v>132</v>
      </c>
      <c r="I190" s="197" t="s">
        <v>132</v>
      </c>
      <c r="J190" s="59" t="s">
        <v>132</v>
      </c>
      <c r="K190" s="59">
        <v>0</v>
      </c>
      <c r="L190" s="59">
        <v>0</v>
      </c>
      <c r="M190" s="132"/>
    </row>
    <row r="191" spans="1:13">
      <c r="A191" s="63"/>
      <c r="B191" s="64"/>
      <c r="C191" s="65" t="s">
        <v>45</v>
      </c>
      <c r="D191" s="66">
        <f>SUM(D190:D190)</f>
        <v>24000000</v>
      </c>
      <c r="E191" s="66">
        <f t="shared" ref="E191:F191" si="60">SUM(E189:E190)</f>
        <v>0</v>
      </c>
      <c r="F191" s="66">
        <f t="shared" si="60"/>
        <v>0</v>
      </c>
      <c r="G191" s="122" t="s">
        <v>132</v>
      </c>
      <c r="H191" s="66" t="s">
        <v>132</v>
      </c>
      <c r="I191" s="122" t="s">
        <v>132</v>
      </c>
      <c r="J191" s="66" t="s">
        <v>132</v>
      </c>
      <c r="K191" s="66">
        <f t="shared" ref="K191:L191" si="61">SUM(K189:K190)</f>
        <v>0</v>
      </c>
      <c r="L191" s="66">
        <f t="shared" si="61"/>
        <v>0</v>
      </c>
      <c r="M191" s="66"/>
    </row>
    <row r="192" spans="1:13">
      <c r="A192" s="44">
        <v>15</v>
      </c>
      <c r="B192" s="295" t="s">
        <v>68</v>
      </c>
      <c r="C192" s="86"/>
      <c r="D192" s="57"/>
      <c r="E192" s="119"/>
      <c r="F192" s="131"/>
      <c r="G192" s="119"/>
      <c r="H192" s="152"/>
      <c r="I192" s="119"/>
      <c r="J192" s="152"/>
      <c r="K192" s="152"/>
      <c r="L192" s="152"/>
      <c r="M192" s="131"/>
    </row>
    <row r="193" spans="1:13" ht="26.25">
      <c r="A193" s="44"/>
      <c r="B193" s="49" t="s">
        <v>80</v>
      </c>
      <c r="C193" s="50" t="s">
        <v>118</v>
      </c>
      <c r="D193" s="62">
        <v>10000000</v>
      </c>
      <c r="E193" s="125">
        <v>0</v>
      </c>
      <c r="F193" s="135">
        <v>0</v>
      </c>
      <c r="G193" s="119" t="s">
        <v>132</v>
      </c>
      <c r="H193" s="59" t="s">
        <v>132</v>
      </c>
      <c r="I193" s="119" t="s">
        <v>132</v>
      </c>
      <c r="J193" s="59" t="s">
        <v>132</v>
      </c>
      <c r="K193" s="59">
        <v>0</v>
      </c>
      <c r="L193" s="59">
        <v>0</v>
      </c>
      <c r="M193" s="132"/>
    </row>
    <row r="194" spans="1:13">
      <c r="A194" s="44"/>
      <c r="B194" s="49" t="s">
        <v>69</v>
      </c>
      <c r="C194" s="50" t="s">
        <v>70</v>
      </c>
      <c r="D194" s="62">
        <v>60000000</v>
      </c>
      <c r="E194" s="125">
        <v>0</v>
      </c>
      <c r="F194" s="135">
        <v>0</v>
      </c>
      <c r="G194" s="197" t="s">
        <v>132</v>
      </c>
      <c r="H194" s="59" t="s">
        <v>132</v>
      </c>
      <c r="I194" s="119" t="s">
        <v>132</v>
      </c>
      <c r="J194" s="59" t="s">
        <v>132</v>
      </c>
      <c r="K194" s="59">
        <v>0</v>
      </c>
      <c r="L194" s="59">
        <v>0</v>
      </c>
      <c r="M194" s="132"/>
    </row>
    <row r="195" spans="1:13">
      <c r="A195" s="63"/>
      <c r="B195" s="64"/>
      <c r="C195" s="65" t="s">
        <v>45</v>
      </c>
      <c r="D195" s="66">
        <f>SUM(D193:D194)</f>
        <v>70000000</v>
      </c>
      <c r="E195" s="66">
        <f>SUM(E191:E194)</f>
        <v>0</v>
      </c>
      <c r="F195" s="66">
        <f>SUM(F191:F194)</f>
        <v>0</v>
      </c>
      <c r="G195" s="122" t="s">
        <v>132</v>
      </c>
      <c r="H195" s="66" t="s">
        <v>132</v>
      </c>
      <c r="I195" s="122" t="s">
        <v>132</v>
      </c>
      <c r="J195" s="66" t="s">
        <v>132</v>
      </c>
      <c r="K195" s="66">
        <f>SUM(K193:K194)</f>
        <v>0</v>
      </c>
      <c r="L195" s="66">
        <f>SUM(L191:L194)</f>
        <v>0</v>
      </c>
      <c r="M195" s="66"/>
    </row>
    <row r="196" spans="1:13">
      <c r="A196" s="44">
        <v>16</v>
      </c>
      <c r="B196" s="81" t="s">
        <v>71</v>
      </c>
      <c r="C196" s="82"/>
      <c r="D196" s="57"/>
      <c r="E196" s="119"/>
      <c r="F196" s="131"/>
      <c r="G196" s="119"/>
      <c r="H196" s="152"/>
      <c r="I196" s="119"/>
      <c r="J196" s="152"/>
      <c r="K196" s="152"/>
      <c r="L196" s="152"/>
      <c r="M196" s="131"/>
    </row>
    <row r="197" spans="1:13">
      <c r="A197" s="44"/>
      <c r="B197" s="47" t="s">
        <v>72</v>
      </c>
      <c r="C197" s="48" t="s">
        <v>73</v>
      </c>
      <c r="D197" s="60">
        <v>5000000</v>
      </c>
      <c r="E197" s="120">
        <v>0</v>
      </c>
      <c r="F197" s="132">
        <v>0</v>
      </c>
      <c r="G197" s="120">
        <v>5000000</v>
      </c>
      <c r="H197" s="312">
        <f>G197/D197*100</f>
        <v>100</v>
      </c>
      <c r="I197" s="313">
        <f t="shared" ref="I197:I198" si="62">G197</f>
        <v>5000000</v>
      </c>
      <c r="J197" s="314">
        <f t="shared" ref="J197:J198" si="63">I197/D197*100</f>
        <v>100</v>
      </c>
      <c r="K197" s="331">
        <f>2/12</f>
        <v>0.16666666666666666</v>
      </c>
      <c r="L197" s="311">
        <f>J197</f>
        <v>100</v>
      </c>
      <c r="M197" s="132"/>
    </row>
    <row r="198" spans="1:13">
      <c r="A198" s="63"/>
      <c r="B198" s="83"/>
      <c r="C198" s="65" t="s">
        <v>45</v>
      </c>
      <c r="D198" s="66">
        <f>SUM(D197:D197)</f>
        <v>5000000</v>
      </c>
      <c r="E198" s="122">
        <f>SUM(E197:E197)</f>
        <v>0</v>
      </c>
      <c r="F198" s="66">
        <f>SUM(F197:F197)</f>
        <v>0</v>
      </c>
      <c r="G198" s="195">
        <f>G197</f>
        <v>5000000</v>
      </c>
      <c r="H198" s="310">
        <f>G198/D198*100</f>
        <v>100</v>
      </c>
      <c r="I198" s="192">
        <f t="shared" si="62"/>
        <v>5000000</v>
      </c>
      <c r="J198" s="311">
        <f t="shared" si="63"/>
        <v>100</v>
      </c>
      <c r="K198" s="333">
        <f>SUM(K197)</f>
        <v>0.16666666666666666</v>
      </c>
      <c r="L198" s="302">
        <f>SUM(L197)</f>
        <v>100</v>
      </c>
      <c r="M198" s="66"/>
    </row>
    <row r="199" spans="1:13">
      <c r="A199" s="87" t="s">
        <v>69</v>
      </c>
      <c r="B199" s="826" t="s">
        <v>89</v>
      </c>
      <c r="C199" s="827"/>
      <c r="D199" s="70"/>
      <c r="E199" s="123"/>
      <c r="F199" s="134"/>
      <c r="G199" s="123"/>
      <c r="H199" s="156"/>
      <c r="I199" s="123"/>
      <c r="J199" s="156"/>
      <c r="K199" s="156"/>
      <c r="L199" s="156"/>
      <c r="M199" s="134"/>
    </row>
    <row r="200" spans="1:13">
      <c r="A200" s="88"/>
      <c r="B200" s="830" t="s">
        <v>88</v>
      </c>
      <c r="C200" s="831"/>
      <c r="D200" s="57"/>
      <c r="E200" s="119"/>
      <c r="F200" s="131"/>
      <c r="G200" s="119"/>
      <c r="H200" s="152"/>
      <c r="I200" s="119"/>
      <c r="J200" s="152"/>
      <c r="K200" s="152"/>
      <c r="L200" s="152"/>
      <c r="M200" s="131"/>
    </row>
    <row r="201" spans="1:13">
      <c r="A201" s="89"/>
      <c r="B201" s="61" t="s">
        <v>26</v>
      </c>
      <c r="C201" s="90" t="s">
        <v>74</v>
      </c>
      <c r="D201" s="91">
        <v>15000000</v>
      </c>
      <c r="E201" s="126">
        <v>0</v>
      </c>
      <c r="F201" s="136">
        <v>0</v>
      </c>
      <c r="G201" s="126">
        <v>15000000</v>
      </c>
      <c r="H201" s="312">
        <f>G201/D201*100</f>
        <v>100</v>
      </c>
      <c r="I201" s="313">
        <f t="shared" ref="I201:I202" si="64">G201</f>
        <v>15000000</v>
      </c>
      <c r="J201" s="314">
        <f t="shared" ref="J201:J202" si="65">I201/D201*100</f>
        <v>100</v>
      </c>
      <c r="K201" s="331">
        <f>2/12</f>
        <v>0.16666666666666666</v>
      </c>
      <c r="L201" s="311">
        <f>J201</f>
        <v>100</v>
      </c>
      <c r="M201" s="136"/>
    </row>
    <row r="202" spans="1:13">
      <c r="A202" s="63"/>
      <c r="B202" s="83"/>
      <c r="C202" s="65" t="s">
        <v>45</v>
      </c>
      <c r="D202" s="66">
        <f>SUM(D201:D201)</f>
        <v>15000000</v>
      </c>
      <c r="E202" s="122">
        <f>SUM(E201:E201)</f>
        <v>0</v>
      </c>
      <c r="F202" s="66">
        <f>SUM(F201:F201)</f>
        <v>0</v>
      </c>
      <c r="G202" s="126">
        <v>15000000</v>
      </c>
      <c r="H202" s="316">
        <f>G202/D202*100</f>
        <v>100</v>
      </c>
      <c r="I202" s="315">
        <f t="shared" si="64"/>
        <v>15000000</v>
      </c>
      <c r="J202" s="317">
        <f t="shared" si="65"/>
        <v>100</v>
      </c>
      <c r="K202" s="333">
        <f>SUM(K201)</f>
        <v>0.16666666666666666</v>
      </c>
      <c r="L202" s="302">
        <f>SUM(L201)</f>
        <v>100</v>
      </c>
      <c r="M202" s="66"/>
    </row>
    <row r="203" spans="1:13">
      <c r="A203" s="88"/>
      <c r="B203" s="826" t="s">
        <v>94</v>
      </c>
      <c r="C203" s="827"/>
      <c r="D203" s="57"/>
      <c r="E203" s="119"/>
      <c r="F203" s="131"/>
      <c r="G203" s="119"/>
      <c r="H203" s="152"/>
      <c r="I203" s="119"/>
      <c r="J203" s="152"/>
      <c r="K203" s="152"/>
      <c r="L203" s="152"/>
      <c r="M203" s="131"/>
    </row>
    <row r="204" spans="1:13">
      <c r="A204" s="84"/>
      <c r="B204" s="92" t="s">
        <v>26</v>
      </c>
      <c r="C204" s="48" t="s">
        <v>134</v>
      </c>
      <c r="D204" s="60">
        <v>4000000</v>
      </c>
      <c r="E204" s="125">
        <v>0</v>
      </c>
      <c r="F204" s="135">
        <v>0</v>
      </c>
      <c r="G204" s="197" t="s">
        <v>132</v>
      </c>
      <c r="H204" s="59" t="s">
        <v>132</v>
      </c>
      <c r="I204" s="197" t="s">
        <v>132</v>
      </c>
      <c r="J204" s="59" t="s">
        <v>132</v>
      </c>
      <c r="K204" s="59">
        <v>0</v>
      </c>
      <c r="L204" s="59">
        <v>0</v>
      </c>
      <c r="M204" s="132"/>
    </row>
    <row r="205" spans="1:13">
      <c r="A205" s="93"/>
      <c r="B205" s="64"/>
      <c r="C205" s="65" t="s">
        <v>45</v>
      </c>
      <c r="D205" s="66">
        <f>SUM(D204:D204)</f>
        <v>4000000</v>
      </c>
      <c r="E205" s="66">
        <f t="shared" ref="E205:F205" si="66">SUM(E199:E204)</f>
        <v>0</v>
      </c>
      <c r="F205" s="66">
        <f t="shared" si="66"/>
        <v>0</v>
      </c>
      <c r="G205" s="122" t="s">
        <v>132</v>
      </c>
      <c r="H205" s="66" t="s">
        <v>132</v>
      </c>
      <c r="I205" s="122" t="s">
        <v>132</v>
      </c>
      <c r="J205" s="66" t="s">
        <v>132</v>
      </c>
      <c r="K205" s="66">
        <f>SUM(K204)</f>
        <v>0</v>
      </c>
      <c r="L205" s="66">
        <v>0</v>
      </c>
      <c r="M205" s="66"/>
    </row>
    <row r="206" spans="1:13">
      <c r="A206" s="84">
        <v>16</v>
      </c>
      <c r="B206" s="826" t="s">
        <v>75</v>
      </c>
      <c r="C206" s="827"/>
      <c r="D206" s="57"/>
      <c r="E206" s="119"/>
      <c r="F206" s="131"/>
      <c r="G206" s="119"/>
      <c r="H206" s="156"/>
      <c r="I206" s="123"/>
      <c r="J206" s="152"/>
      <c r="K206" s="152"/>
      <c r="L206" s="152"/>
      <c r="M206" s="131"/>
    </row>
    <row r="207" spans="1:13">
      <c r="A207" s="84"/>
      <c r="B207" s="94" t="s">
        <v>72</v>
      </c>
      <c r="C207" s="95" t="s">
        <v>103</v>
      </c>
      <c r="D207" s="80">
        <v>10000000</v>
      </c>
      <c r="E207" s="124"/>
      <c r="F207" s="131"/>
      <c r="G207" s="218" t="s">
        <v>132</v>
      </c>
      <c r="H207" s="212" t="s">
        <v>132</v>
      </c>
      <c r="I207" s="218" t="s">
        <v>132</v>
      </c>
      <c r="J207" s="152" t="s">
        <v>132</v>
      </c>
      <c r="K207" s="331">
        <f>2/12</f>
        <v>0.16666666666666666</v>
      </c>
      <c r="L207" s="152"/>
      <c r="M207" s="131"/>
    </row>
    <row r="208" spans="1:13">
      <c r="A208" s="93"/>
      <c r="B208" s="83"/>
      <c r="C208" s="65" t="s">
        <v>45</v>
      </c>
      <c r="D208" s="66">
        <f>SUM(D207)</f>
        <v>10000000</v>
      </c>
      <c r="E208" s="66">
        <f t="shared" ref="E208:F208" si="67">SUM(E206:E207)</f>
        <v>0</v>
      </c>
      <c r="F208" s="66">
        <f t="shared" si="67"/>
        <v>0</v>
      </c>
      <c r="G208" s="122" t="s">
        <v>132</v>
      </c>
      <c r="H208" s="66" t="s">
        <v>132</v>
      </c>
      <c r="I208" s="122" t="s">
        <v>132</v>
      </c>
      <c r="J208" s="66" t="s">
        <v>132</v>
      </c>
      <c r="K208" s="333">
        <f>SUM(K207)</f>
        <v>0.16666666666666666</v>
      </c>
      <c r="L208" s="66">
        <v>0</v>
      </c>
      <c r="M208" s="66"/>
    </row>
    <row r="209" spans="1:15">
      <c r="A209" s="84">
        <v>22</v>
      </c>
      <c r="B209" s="826" t="s">
        <v>87</v>
      </c>
      <c r="C209" s="827"/>
      <c r="D209" s="57"/>
      <c r="E209" s="119"/>
      <c r="F209" s="131"/>
      <c r="G209" s="119"/>
      <c r="H209" s="152"/>
      <c r="I209" s="119"/>
      <c r="J209" s="152"/>
      <c r="K209" s="152"/>
      <c r="L209" s="152"/>
      <c r="M209" s="131"/>
    </row>
    <row r="210" spans="1:15" ht="25.5">
      <c r="A210" s="84"/>
      <c r="B210" s="47" t="s">
        <v>26</v>
      </c>
      <c r="C210" s="95" t="s">
        <v>76</v>
      </c>
      <c r="D210" s="60">
        <v>3500000</v>
      </c>
      <c r="E210" s="125">
        <v>0</v>
      </c>
      <c r="F210" s="135">
        <v>0</v>
      </c>
      <c r="G210" s="197" t="s">
        <v>132</v>
      </c>
      <c r="H210" s="59" t="s">
        <v>132</v>
      </c>
      <c r="I210" s="197" t="s">
        <v>132</v>
      </c>
      <c r="J210" s="59" t="s">
        <v>132</v>
      </c>
      <c r="K210" s="331">
        <f>2/12</f>
        <v>0.16666666666666666</v>
      </c>
      <c r="L210" s="59">
        <v>0</v>
      </c>
      <c r="M210" s="132"/>
    </row>
    <row r="211" spans="1:15">
      <c r="A211" s="63"/>
      <c r="B211" s="83"/>
      <c r="C211" s="65" t="s">
        <v>45</v>
      </c>
      <c r="D211" s="66">
        <f>SUM(D210:D210)</f>
        <v>3500000</v>
      </c>
      <c r="E211" s="66">
        <f t="shared" ref="E211:F211" si="68">SUM(E208:E210)</f>
        <v>0</v>
      </c>
      <c r="F211" s="66">
        <f t="shared" si="68"/>
        <v>0</v>
      </c>
      <c r="G211" s="122" t="s">
        <v>132</v>
      </c>
      <c r="H211" s="66" t="s">
        <v>132</v>
      </c>
      <c r="I211" s="122" t="s">
        <v>132</v>
      </c>
      <c r="J211" s="66" t="s">
        <v>132</v>
      </c>
      <c r="K211" s="333">
        <f>SUM(K210)</f>
        <v>0.16666666666666666</v>
      </c>
      <c r="L211" s="66">
        <f t="shared" ref="L211" si="69">SUM(L208:L210)</f>
        <v>0</v>
      </c>
      <c r="M211" s="66"/>
      <c r="O211" s="544">
        <v>14025600</v>
      </c>
    </row>
    <row r="212" spans="1:15">
      <c r="A212" s="44">
        <v>17</v>
      </c>
      <c r="B212" s="822" t="s">
        <v>56</v>
      </c>
      <c r="C212" s="823"/>
      <c r="D212" s="57"/>
      <c r="E212" s="119"/>
      <c r="F212" s="131"/>
      <c r="G212" s="119"/>
      <c r="H212" s="152"/>
      <c r="I212" s="119"/>
      <c r="J212" s="152"/>
      <c r="K212" s="152"/>
      <c r="L212" s="152"/>
      <c r="M212" s="131"/>
      <c r="O212" s="544">
        <v>9742000</v>
      </c>
    </row>
    <row r="213" spans="1:15">
      <c r="A213" s="44"/>
      <c r="B213" s="47">
        <v>19</v>
      </c>
      <c r="C213" s="824" t="s">
        <v>91</v>
      </c>
      <c r="E213" s="120"/>
      <c r="F213" s="132"/>
      <c r="G213" s="119"/>
      <c r="H213" s="59"/>
      <c r="I213" s="119"/>
      <c r="J213" s="59"/>
      <c r="K213" s="59"/>
      <c r="L213" s="59"/>
      <c r="M213" s="132"/>
      <c r="O213" s="544">
        <v>9671250</v>
      </c>
    </row>
    <row r="214" spans="1:15">
      <c r="A214" s="44"/>
      <c r="B214" s="163"/>
      <c r="C214" s="825"/>
      <c r="D214" s="60">
        <v>25000000</v>
      </c>
      <c r="E214" s="164">
        <v>0</v>
      </c>
      <c r="F214" s="165">
        <v>0</v>
      </c>
      <c r="G214" s="198" t="s">
        <v>132</v>
      </c>
      <c r="H214" s="148" t="s">
        <v>132</v>
      </c>
      <c r="I214" s="198" t="s">
        <v>132</v>
      </c>
      <c r="J214" s="148" t="s">
        <v>132</v>
      </c>
      <c r="K214" s="331">
        <f>2/12</f>
        <v>0.16666666666666666</v>
      </c>
      <c r="L214" s="148">
        <v>0</v>
      </c>
      <c r="M214" s="165"/>
      <c r="O214" s="544">
        <v>10177976</v>
      </c>
    </row>
    <row r="215" spans="1:15">
      <c r="A215" s="63"/>
      <c r="B215" s="96"/>
      <c r="C215" s="65" t="s">
        <v>45</v>
      </c>
      <c r="D215" s="66">
        <f>SUM(D214:D214)</f>
        <v>25000000</v>
      </c>
      <c r="E215" s="122">
        <f>SUM(E213:E213)</f>
        <v>0</v>
      </c>
      <c r="F215" s="137">
        <f>SUM(F213:F213)</f>
        <v>0</v>
      </c>
      <c r="G215" s="122" t="s">
        <v>132</v>
      </c>
      <c r="H215" s="66" t="s">
        <v>132</v>
      </c>
      <c r="I215" s="122" t="s">
        <v>132</v>
      </c>
      <c r="J215" s="155" t="s">
        <v>132</v>
      </c>
      <c r="K215" s="333">
        <f>SUM(K214)</f>
        <v>0.16666666666666666</v>
      </c>
      <c r="L215" s="66">
        <f>SUM(L213:L213)</f>
        <v>0</v>
      </c>
      <c r="M215" s="137"/>
      <c r="O215" s="544">
        <v>9800000</v>
      </c>
    </row>
    <row r="216" spans="1:15">
      <c r="A216" s="44">
        <v>19</v>
      </c>
      <c r="B216" s="826" t="s">
        <v>57</v>
      </c>
      <c r="C216" s="827"/>
      <c r="D216" s="57"/>
      <c r="E216" s="119"/>
      <c r="F216" s="131"/>
      <c r="G216" s="119"/>
      <c r="H216" s="152"/>
      <c r="I216" s="119"/>
      <c r="J216" s="152"/>
      <c r="K216" s="152"/>
      <c r="L216" s="152"/>
      <c r="M216" s="131"/>
      <c r="O216" s="544">
        <v>8583000</v>
      </c>
    </row>
    <row r="217" spans="1:15">
      <c r="A217" s="44"/>
      <c r="B217" s="47" t="s">
        <v>26</v>
      </c>
      <c r="C217" s="48" t="s">
        <v>58</v>
      </c>
      <c r="D217" s="60">
        <v>15000000</v>
      </c>
      <c r="E217" s="120">
        <v>0</v>
      </c>
      <c r="F217" s="132">
        <v>0</v>
      </c>
      <c r="G217" s="197">
        <v>15000000</v>
      </c>
      <c r="H217" s="59">
        <f>G217/D217*100</f>
        <v>100</v>
      </c>
      <c r="I217" s="197">
        <v>15000000</v>
      </c>
      <c r="J217" s="59">
        <f>I217/D217*100</f>
        <v>100</v>
      </c>
      <c r="K217" s="331">
        <f>2/12</f>
        <v>0.16666666666666666</v>
      </c>
      <c r="L217" s="311">
        <f>J217</f>
        <v>100</v>
      </c>
      <c r="M217" s="132"/>
      <c r="O217" s="544">
        <f>SUM(O211:O216)</f>
        <v>61999826</v>
      </c>
    </row>
    <row r="218" spans="1:15">
      <c r="A218" s="183"/>
      <c r="B218" s="64"/>
      <c r="C218" s="65" t="s">
        <v>45</v>
      </c>
      <c r="D218" s="66">
        <f>SUM(D217)</f>
        <v>15000000</v>
      </c>
      <c r="E218" s="122">
        <f>SUM(E215:E215)</f>
        <v>0</v>
      </c>
      <c r="F218" s="66">
        <f>SUM(F215:F215)</f>
        <v>0</v>
      </c>
      <c r="G218" s="122">
        <f>G217</f>
        <v>15000000</v>
      </c>
      <c r="H218" s="66">
        <f>G218/D218*100</f>
        <v>100</v>
      </c>
      <c r="I218" s="122">
        <f>I217</f>
        <v>15000000</v>
      </c>
      <c r="J218" s="155">
        <f>I218/D218*100</f>
        <v>100</v>
      </c>
      <c r="K218" s="333">
        <f>SUM(K217)</f>
        <v>0.16666666666666666</v>
      </c>
      <c r="L218" s="302">
        <f>SUM(L217)</f>
        <v>100</v>
      </c>
      <c r="M218" s="66"/>
    </row>
    <row r="219" spans="1:15">
      <c r="A219" s="44">
        <v>32</v>
      </c>
      <c r="B219" s="97" t="s">
        <v>59</v>
      </c>
      <c r="C219" s="98"/>
      <c r="D219" s="57"/>
      <c r="E219" s="119"/>
      <c r="F219" s="131"/>
      <c r="G219" s="119"/>
      <c r="H219" s="152"/>
      <c r="I219" s="119"/>
      <c r="J219" s="152"/>
      <c r="K219" s="152"/>
      <c r="L219" s="152"/>
      <c r="M219" s="131"/>
    </row>
    <row r="220" spans="1:15">
      <c r="A220" s="44"/>
      <c r="B220" s="47" t="s">
        <v>26</v>
      </c>
      <c r="C220" s="58" t="s">
        <v>60</v>
      </c>
      <c r="D220" s="60">
        <v>15000000</v>
      </c>
      <c r="E220" s="120">
        <v>0</v>
      </c>
      <c r="F220" s="132">
        <v>0</v>
      </c>
      <c r="G220" s="197">
        <f>750000+225000</f>
        <v>975000</v>
      </c>
      <c r="H220" s="301">
        <f>G220/D220*100</f>
        <v>6.5</v>
      </c>
      <c r="I220" s="192">
        <f>G220</f>
        <v>975000</v>
      </c>
      <c r="J220" s="301">
        <f t="shared" ref="J220" si="70">I220/D220*100</f>
        <v>6.5</v>
      </c>
      <c r="K220" s="331">
        <f>2/12</f>
        <v>0.16666666666666666</v>
      </c>
      <c r="L220" s="311">
        <f>J220</f>
        <v>6.5</v>
      </c>
      <c r="M220" s="132"/>
    </row>
    <row r="221" spans="1:15">
      <c r="A221" s="63"/>
      <c r="B221" s="64"/>
      <c r="C221" s="65" t="s">
        <v>45</v>
      </c>
      <c r="D221" s="66">
        <f>SUM(D220)</f>
        <v>15000000</v>
      </c>
      <c r="E221" s="122">
        <f>SUM(E220:E220)</f>
        <v>0</v>
      </c>
      <c r="F221" s="66">
        <f>SUM(F220:F220)</f>
        <v>0</v>
      </c>
      <c r="G221" s="122">
        <f>G220</f>
        <v>975000</v>
      </c>
      <c r="H221" s="302">
        <f>G221/D221*100</f>
        <v>6.5</v>
      </c>
      <c r="I221" s="122">
        <f>I220</f>
        <v>975000</v>
      </c>
      <c r="J221" s="302">
        <f>I221/D221*100</f>
        <v>6.5</v>
      </c>
      <c r="K221" s="333">
        <f>SUM(K220:K220)</f>
        <v>0.16666666666666666</v>
      </c>
      <c r="L221" s="302">
        <f>SUM(L220:L220)</f>
        <v>6.5</v>
      </c>
      <c r="M221" s="66"/>
    </row>
    <row r="222" spans="1:15">
      <c r="A222" s="99">
        <v>15</v>
      </c>
      <c r="B222" s="100" t="s">
        <v>77</v>
      </c>
      <c r="C222" s="293"/>
      <c r="D222" s="70"/>
      <c r="E222" s="123"/>
      <c r="F222" s="134"/>
      <c r="G222" s="123"/>
      <c r="H222" s="156"/>
      <c r="I222" s="123"/>
      <c r="J222" s="144"/>
      <c r="K222" s="156"/>
      <c r="L222" s="156"/>
      <c r="M222" s="134"/>
    </row>
    <row r="223" spans="1:15">
      <c r="A223" s="84"/>
      <c r="B223" s="101" t="s">
        <v>78</v>
      </c>
      <c r="C223" s="48"/>
      <c r="D223" s="102"/>
      <c r="E223" s="119"/>
      <c r="F223" s="131"/>
      <c r="G223" s="119"/>
      <c r="H223" s="152"/>
      <c r="I223" s="119"/>
      <c r="J223" s="59"/>
      <c r="K223" s="152"/>
      <c r="L223" s="152"/>
      <c r="M223" s="131"/>
    </row>
    <row r="224" spans="1:15">
      <c r="A224" s="44"/>
      <c r="B224" s="47" t="s">
        <v>26</v>
      </c>
      <c r="C224" s="48" t="s">
        <v>79</v>
      </c>
      <c r="D224" s="60">
        <v>5000000</v>
      </c>
      <c r="E224" s="120">
        <v>0</v>
      </c>
      <c r="F224" s="132">
        <v>0</v>
      </c>
      <c r="G224" s="199" t="s">
        <v>132</v>
      </c>
      <c r="H224" s="59" t="s">
        <v>132</v>
      </c>
      <c r="I224" s="199" t="s">
        <v>132</v>
      </c>
      <c r="J224" s="59" t="s">
        <v>132</v>
      </c>
      <c r="K224" s="59">
        <v>0</v>
      </c>
      <c r="L224" s="59">
        <v>0</v>
      </c>
      <c r="M224" s="132"/>
    </row>
    <row r="225" spans="1:13">
      <c r="A225" s="89"/>
      <c r="B225" s="61" t="s">
        <v>80</v>
      </c>
      <c r="C225" s="103" t="s">
        <v>104</v>
      </c>
      <c r="D225" s="91">
        <v>15000000</v>
      </c>
      <c r="E225" s="127">
        <v>0</v>
      </c>
      <c r="F225" s="138">
        <v>0</v>
      </c>
      <c r="G225" s="197" t="s">
        <v>132</v>
      </c>
      <c r="H225" s="157" t="s">
        <v>132</v>
      </c>
      <c r="I225" s="197" t="s">
        <v>132</v>
      </c>
      <c r="J225" s="157" t="s">
        <v>132</v>
      </c>
      <c r="K225" s="59">
        <v>0</v>
      </c>
      <c r="L225" s="157">
        <v>0</v>
      </c>
      <c r="M225" s="136"/>
    </row>
    <row r="226" spans="1:13">
      <c r="A226" s="93"/>
      <c r="B226" s="83"/>
      <c r="C226" s="65" t="s">
        <v>45</v>
      </c>
      <c r="D226" s="66">
        <f>SUM(D224:D225)</f>
        <v>20000000</v>
      </c>
      <c r="E226" s="66">
        <f>SUM(E224:E225)</f>
        <v>0</v>
      </c>
      <c r="F226" s="66">
        <f t="shared" ref="F226" si="71">SUM(F224:F225)</f>
        <v>0</v>
      </c>
      <c r="G226" s="122" t="s">
        <v>132</v>
      </c>
      <c r="H226" s="66" t="s">
        <v>132</v>
      </c>
      <c r="I226" s="122" t="s">
        <v>132</v>
      </c>
      <c r="J226" s="66" t="s">
        <v>132</v>
      </c>
      <c r="K226" s="66">
        <f>SUM(K224:K225)</f>
        <v>0</v>
      </c>
      <c r="L226" s="66">
        <f t="shared" ref="L226" si="72">SUM(L224:L225)</f>
        <v>0</v>
      </c>
      <c r="M226" s="66"/>
    </row>
    <row r="227" spans="1:13">
      <c r="A227" s="84">
        <v>18</v>
      </c>
      <c r="B227" s="75" t="s">
        <v>82</v>
      </c>
      <c r="C227" s="76"/>
      <c r="D227" s="57"/>
      <c r="E227" s="119"/>
      <c r="F227" s="131"/>
      <c r="G227" s="119"/>
      <c r="H227" s="152"/>
      <c r="I227" s="119"/>
      <c r="J227" s="152"/>
      <c r="K227" s="152"/>
      <c r="L227" s="152"/>
      <c r="M227" s="131"/>
    </row>
    <row r="228" spans="1:13" ht="26.25">
      <c r="A228" s="84"/>
      <c r="B228" s="94" t="s">
        <v>29</v>
      </c>
      <c r="C228" s="48" t="s">
        <v>92</v>
      </c>
      <c r="D228" s="60">
        <v>7500000</v>
      </c>
      <c r="E228" s="120">
        <v>0</v>
      </c>
      <c r="F228" s="132">
        <v>0</v>
      </c>
      <c r="G228" s="199" t="s">
        <v>132</v>
      </c>
      <c r="H228" s="59" t="s">
        <v>132</v>
      </c>
      <c r="I228" s="199" t="s">
        <v>132</v>
      </c>
      <c r="J228" s="59" t="s">
        <v>132</v>
      </c>
      <c r="K228" s="331">
        <f>2/12</f>
        <v>0.16666666666666666</v>
      </c>
      <c r="L228" s="59">
        <v>0</v>
      </c>
      <c r="M228" s="131"/>
    </row>
    <row r="229" spans="1:13" ht="26.25">
      <c r="A229" s="84"/>
      <c r="B229" s="94" t="s">
        <v>83</v>
      </c>
      <c r="C229" s="48" t="s">
        <v>93</v>
      </c>
      <c r="D229" s="62">
        <v>10000000</v>
      </c>
      <c r="E229" s="121">
        <v>0</v>
      </c>
      <c r="F229" s="133">
        <v>0</v>
      </c>
      <c r="G229" s="200" t="s">
        <v>132</v>
      </c>
      <c r="H229" s="59" t="s">
        <v>132</v>
      </c>
      <c r="I229" s="200" t="str">
        <f>G229</f>
        <v>-</v>
      </c>
      <c r="J229" s="59" t="s">
        <v>132</v>
      </c>
      <c r="K229" s="331">
        <f>2/12</f>
        <v>0.16666666666666666</v>
      </c>
      <c r="L229" s="153">
        <v>0</v>
      </c>
      <c r="M229" s="131"/>
    </row>
    <row r="230" spans="1:13">
      <c r="A230" s="93"/>
      <c r="B230" s="64"/>
      <c r="C230" s="65" t="s">
        <v>45</v>
      </c>
      <c r="D230" s="66">
        <f>SUM(D228:D229)</f>
        <v>17500000</v>
      </c>
      <c r="E230" s="66">
        <f t="shared" ref="E230:F230" si="73">SUM(E228:E229)</f>
        <v>0</v>
      </c>
      <c r="F230" s="66">
        <f t="shared" si="73"/>
        <v>0</v>
      </c>
      <c r="G230" s="122" t="s">
        <v>132</v>
      </c>
      <c r="H230" s="66" t="s">
        <v>132</v>
      </c>
      <c r="I230" s="122">
        <f t="shared" ref="I230" si="74">SUM(I228:I229)</f>
        <v>0</v>
      </c>
      <c r="J230" s="66" t="s">
        <v>132</v>
      </c>
      <c r="K230" s="333">
        <f>2/12</f>
        <v>0.16666666666666666</v>
      </c>
      <c r="L230" s="66">
        <v>0</v>
      </c>
      <c r="M230" s="66"/>
    </row>
    <row r="231" spans="1:13">
      <c r="A231" s="99">
        <v>26</v>
      </c>
      <c r="B231" s="104" t="s">
        <v>105</v>
      </c>
      <c r="C231" s="105"/>
      <c r="D231" s="57"/>
      <c r="E231" s="119"/>
      <c r="F231" s="131"/>
      <c r="G231" s="119"/>
      <c r="H231" s="152"/>
      <c r="I231" s="119"/>
      <c r="J231" s="152"/>
      <c r="K231" s="152"/>
      <c r="L231" s="152"/>
      <c r="M231" s="131"/>
    </row>
    <row r="232" spans="1:13">
      <c r="A232" s="44"/>
      <c r="B232" s="47" t="s">
        <v>84</v>
      </c>
      <c r="C232" s="48" t="s">
        <v>106</v>
      </c>
      <c r="D232" s="60">
        <v>5000000</v>
      </c>
      <c r="E232" s="120" t="s">
        <v>132</v>
      </c>
      <c r="F232" s="132">
        <v>0</v>
      </c>
      <c r="G232" s="120" t="s">
        <v>132</v>
      </c>
      <c r="H232" s="59" t="s">
        <v>132</v>
      </c>
      <c r="I232" s="120">
        <v>0</v>
      </c>
      <c r="J232" s="59" t="s">
        <v>132</v>
      </c>
      <c r="K232" s="157">
        <v>0</v>
      </c>
      <c r="L232" s="59">
        <v>0</v>
      </c>
      <c r="M232" s="132"/>
    </row>
    <row r="233" spans="1:13">
      <c r="A233" s="63"/>
      <c r="B233" s="64"/>
      <c r="C233" s="65" t="s">
        <v>45</v>
      </c>
      <c r="D233" s="66">
        <f>SUM(D232)</f>
        <v>5000000</v>
      </c>
      <c r="E233" s="66">
        <v>0</v>
      </c>
      <c r="F233" s="66">
        <f t="shared" ref="F233" si="75">SUM(F230:F232)</f>
        <v>0</v>
      </c>
      <c r="G233" s="122" t="s">
        <v>132</v>
      </c>
      <c r="H233" s="66" t="s">
        <v>132</v>
      </c>
      <c r="I233" s="122" t="s">
        <v>132</v>
      </c>
      <c r="J233" s="66" t="s">
        <v>132</v>
      </c>
      <c r="K233" s="66">
        <f>SUM(K232)</f>
        <v>0</v>
      </c>
      <c r="L233" s="66">
        <v>0</v>
      </c>
      <c r="M233" s="66"/>
    </row>
    <row r="234" spans="1:13">
      <c r="A234" s="99">
        <v>16</v>
      </c>
      <c r="B234" s="104" t="s">
        <v>123</v>
      </c>
      <c r="C234" s="105"/>
      <c r="D234" s="57"/>
      <c r="E234" s="119"/>
      <c r="F234" s="131"/>
      <c r="G234" s="119"/>
      <c r="H234" s="152"/>
      <c r="I234" s="119"/>
      <c r="J234" s="152"/>
      <c r="K234" s="152"/>
      <c r="L234" s="152"/>
      <c r="M234" s="131"/>
    </row>
    <row r="235" spans="1:13">
      <c r="A235" s="84"/>
      <c r="B235" s="185" t="s">
        <v>124</v>
      </c>
      <c r="C235" s="186"/>
      <c r="D235" s="182"/>
      <c r="E235" s="124"/>
      <c r="F235" s="131"/>
      <c r="G235" s="131"/>
      <c r="H235" s="152"/>
      <c r="I235" s="131"/>
      <c r="J235" s="152"/>
      <c r="K235" s="152"/>
      <c r="L235" s="152"/>
      <c r="M235" s="152"/>
    </row>
    <row r="236" spans="1:13" ht="26.25">
      <c r="A236" s="44"/>
      <c r="B236" s="282" t="s">
        <v>46</v>
      </c>
      <c r="C236" s="50" t="s">
        <v>217</v>
      </c>
      <c r="D236" s="60">
        <v>27000000</v>
      </c>
      <c r="E236" s="125">
        <v>0</v>
      </c>
      <c r="F236" s="135">
        <v>0</v>
      </c>
      <c r="G236" s="124">
        <v>0</v>
      </c>
      <c r="H236" s="59" t="s">
        <v>132</v>
      </c>
      <c r="I236" s="124">
        <v>0</v>
      </c>
      <c r="J236" s="59" t="s">
        <v>132</v>
      </c>
      <c r="K236" s="59">
        <v>0</v>
      </c>
      <c r="L236" s="59">
        <v>0</v>
      </c>
      <c r="M236" s="59"/>
    </row>
    <row r="237" spans="1:13">
      <c r="A237" s="44"/>
      <c r="B237" s="163" t="s">
        <v>111</v>
      </c>
      <c r="C237" s="204" t="s">
        <v>81</v>
      </c>
      <c r="D237" s="205">
        <v>3000000</v>
      </c>
      <c r="E237" s="125">
        <v>0</v>
      </c>
      <c r="F237" s="135">
        <v>0</v>
      </c>
      <c r="G237" s="201" t="s">
        <v>132</v>
      </c>
      <c r="H237" s="187" t="s">
        <v>132</v>
      </c>
      <c r="I237" s="201" t="s">
        <v>132</v>
      </c>
      <c r="J237" s="187" t="s">
        <v>132</v>
      </c>
      <c r="K237" s="212">
        <v>0</v>
      </c>
      <c r="L237" s="187"/>
      <c r="M237" s="188"/>
    </row>
    <row r="238" spans="1:13">
      <c r="A238" s="63"/>
      <c r="B238" s="64"/>
      <c r="C238" s="65" t="s">
        <v>45</v>
      </c>
      <c r="D238" s="66">
        <f>SUM(D236:D237)</f>
        <v>30000000</v>
      </c>
      <c r="E238" s="66">
        <f>SUM(E236:E237)</f>
        <v>0</v>
      </c>
      <c r="F238" s="66">
        <f>SUM(F236:F237)</f>
        <v>0</v>
      </c>
      <c r="G238" s="122" t="s">
        <v>132</v>
      </c>
      <c r="H238" s="66" t="s">
        <v>132</v>
      </c>
      <c r="I238" s="122">
        <f>SUM(I236:I237)</f>
        <v>0</v>
      </c>
      <c r="J238" s="66" t="s">
        <v>132</v>
      </c>
      <c r="K238" s="66">
        <f>SUM(K236:K237)</f>
        <v>0</v>
      </c>
      <c r="L238" s="66">
        <f>SUM(L236:L237)</f>
        <v>0</v>
      </c>
      <c r="M238" s="66"/>
    </row>
    <row r="239" spans="1:13">
      <c r="A239" s="99">
        <v>17</v>
      </c>
      <c r="B239" s="104" t="s">
        <v>127</v>
      </c>
      <c r="C239" s="105"/>
      <c r="D239" s="57"/>
      <c r="E239" s="119"/>
      <c r="F239" s="131"/>
      <c r="G239" s="119"/>
      <c r="H239" s="152"/>
      <c r="I239" s="119"/>
      <c r="J239" s="152"/>
      <c r="K239" s="152"/>
      <c r="L239" s="152"/>
      <c r="M239" s="131"/>
    </row>
    <row r="240" spans="1:13" ht="26.25">
      <c r="A240" s="44"/>
      <c r="B240" s="47" t="s">
        <v>84</v>
      </c>
      <c r="C240" s="48" t="s">
        <v>128</v>
      </c>
      <c r="D240" s="60">
        <v>10000000</v>
      </c>
      <c r="E240" s="120">
        <v>0</v>
      </c>
      <c r="F240" s="132">
        <v>0</v>
      </c>
      <c r="G240" s="120" t="s">
        <v>132</v>
      </c>
      <c r="H240" s="59" t="s">
        <v>132</v>
      </c>
      <c r="I240" s="120">
        <v>0</v>
      </c>
      <c r="J240" s="59" t="s">
        <v>132</v>
      </c>
      <c r="K240" s="157">
        <v>0</v>
      </c>
      <c r="L240" s="59">
        <v>0</v>
      </c>
      <c r="M240" s="132"/>
    </row>
    <row r="241" spans="1:13">
      <c r="A241" s="63"/>
      <c r="B241" s="64"/>
      <c r="C241" s="65" t="s">
        <v>45</v>
      </c>
      <c r="D241" s="66">
        <f>SUM(D240)</f>
        <v>10000000</v>
      </c>
      <c r="E241" s="66">
        <f t="shared" ref="E241:F241" si="76">SUM(E238:E240)</f>
        <v>0</v>
      </c>
      <c r="F241" s="66">
        <f t="shared" si="76"/>
        <v>0</v>
      </c>
      <c r="G241" s="122" t="s">
        <v>132</v>
      </c>
      <c r="H241" s="66" t="s">
        <v>132</v>
      </c>
      <c r="I241" s="122" t="s">
        <v>132</v>
      </c>
      <c r="J241" s="66" t="s">
        <v>132</v>
      </c>
      <c r="K241" s="66">
        <f>SUM(K240)</f>
        <v>0</v>
      </c>
      <c r="L241" s="66">
        <v>0</v>
      </c>
      <c r="M241" s="66"/>
    </row>
    <row r="242" spans="1:13">
      <c r="A242" s="44">
        <v>18</v>
      </c>
      <c r="B242" s="104" t="s">
        <v>218</v>
      </c>
      <c r="C242" s="105"/>
      <c r="D242" s="70"/>
      <c r="E242" s="70"/>
      <c r="F242" s="70"/>
      <c r="G242" s="287"/>
      <c r="H242" s="70"/>
      <c r="I242" s="287"/>
      <c r="J242" s="70"/>
      <c r="K242" s="70"/>
      <c r="L242" s="70"/>
      <c r="M242" s="70"/>
    </row>
    <row r="243" spans="1:13" ht="25.5">
      <c r="A243" s="44"/>
      <c r="B243" s="283" t="s">
        <v>83</v>
      </c>
      <c r="C243" s="284" t="s">
        <v>219</v>
      </c>
      <c r="D243" s="288">
        <v>50000000</v>
      </c>
      <c r="E243" s="285">
        <v>0</v>
      </c>
      <c r="F243" s="285">
        <v>0</v>
      </c>
      <c r="G243" s="286">
        <v>0</v>
      </c>
      <c r="H243" s="285">
        <v>0</v>
      </c>
      <c r="I243" s="286">
        <v>0</v>
      </c>
      <c r="J243" s="285">
        <v>0</v>
      </c>
      <c r="K243" s="157">
        <v>0</v>
      </c>
      <c r="L243" s="285">
        <v>0</v>
      </c>
      <c r="M243" s="285"/>
    </row>
    <row r="244" spans="1:13">
      <c r="A244" s="63"/>
      <c r="B244" s="64"/>
      <c r="C244" s="65" t="s">
        <v>45</v>
      </c>
      <c r="D244" s="66">
        <f>SUM(D243)</f>
        <v>50000000</v>
      </c>
      <c r="E244" s="66">
        <v>0</v>
      </c>
      <c r="F244" s="66">
        <v>0</v>
      </c>
      <c r="G244" s="122">
        <v>0</v>
      </c>
      <c r="H244" s="66">
        <v>0</v>
      </c>
      <c r="I244" s="122">
        <v>0</v>
      </c>
      <c r="J244" s="66">
        <v>0</v>
      </c>
      <c r="K244" s="66">
        <f>SUM(K243)</f>
        <v>0</v>
      </c>
      <c r="L244" s="66">
        <v>0</v>
      </c>
      <c r="M244" s="66"/>
    </row>
    <row r="245" spans="1:13">
      <c r="A245" s="44">
        <v>24</v>
      </c>
      <c r="B245" s="104" t="s">
        <v>221</v>
      </c>
      <c r="C245" s="105"/>
      <c r="D245" s="70"/>
      <c r="E245" s="70"/>
      <c r="F245" s="70"/>
      <c r="G245" s="287"/>
      <c r="H245" s="70"/>
      <c r="I245" s="287"/>
      <c r="J245" s="70"/>
      <c r="K245" s="70"/>
      <c r="L245" s="70"/>
      <c r="M245" s="70"/>
    </row>
    <row r="246" spans="1:13">
      <c r="A246" s="44"/>
      <c r="B246" s="283" t="s">
        <v>83</v>
      </c>
      <c r="C246" s="284" t="s">
        <v>222</v>
      </c>
      <c r="D246" s="288">
        <v>50000000</v>
      </c>
      <c r="E246" s="285">
        <v>0</v>
      </c>
      <c r="F246" s="285">
        <v>0</v>
      </c>
      <c r="G246" s="286">
        <v>0</v>
      </c>
      <c r="H246" s="285">
        <v>0</v>
      </c>
      <c r="I246" s="286">
        <v>0</v>
      </c>
      <c r="J246" s="285">
        <v>0</v>
      </c>
      <c r="K246" s="157">
        <v>0</v>
      </c>
      <c r="L246" s="285">
        <v>0</v>
      </c>
      <c r="M246" s="285"/>
    </row>
    <row r="247" spans="1:13">
      <c r="A247" s="63"/>
      <c r="B247" s="64"/>
      <c r="C247" s="65" t="s">
        <v>45</v>
      </c>
      <c r="D247" s="66">
        <f>SUM(D246)</f>
        <v>50000000</v>
      </c>
      <c r="E247" s="66">
        <v>0</v>
      </c>
      <c r="F247" s="66">
        <v>0</v>
      </c>
      <c r="G247" s="122">
        <v>0</v>
      </c>
      <c r="H247" s="66">
        <v>0</v>
      </c>
      <c r="I247" s="122">
        <v>0</v>
      </c>
      <c r="J247" s="66">
        <v>0</v>
      </c>
      <c r="K247" s="66">
        <f>SUM(K246)</f>
        <v>0</v>
      </c>
      <c r="L247" s="66">
        <v>0</v>
      </c>
      <c r="M247" s="66"/>
    </row>
    <row r="248" spans="1:13" ht="15.75" thickBot="1">
      <c r="A248" s="166"/>
      <c r="B248" s="167" t="s">
        <v>85</v>
      </c>
      <c r="C248" s="106"/>
      <c r="D248" s="107">
        <f>D142+D139</f>
        <v>3251325000</v>
      </c>
      <c r="E248" s="107">
        <f>E142+E139</f>
        <v>0</v>
      </c>
      <c r="F248" s="107">
        <f>F142+F139</f>
        <v>0</v>
      </c>
      <c r="G248" s="107">
        <f>G139+G142</f>
        <v>299020823</v>
      </c>
      <c r="H248" s="213">
        <f>G248/D248*100</f>
        <v>9.1968912058929817</v>
      </c>
      <c r="I248" s="107">
        <f>I142+I139</f>
        <v>299020823</v>
      </c>
      <c r="J248" s="213">
        <f>I248/D248*100</f>
        <v>9.1968912058929817</v>
      </c>
      <c r="K248" s="337">
        <f>2/12</f>
        <v>0.16666666666666666</v>
      </c>
      <c r="L248" s="213">
        <f>J248</f>
        <v>9.1968912058929817</v>
      </c>
      <c r="M248" s="326"/>
    </row>
    <row r="249" spans="1:13" ht="15.75" thickTop="1">
      <c r="A249" s="168"/>
      <c r="B249" s="169"/>
      <c r="C249" s="170"/>
      <c r="D249" s="171"/>
      <c r="E249" s="108"/>
      <c r="H249" s="128"/>
      <c r="I249" s="159" t="s">
        <v>229</v>
      </c>
      <c r="J249" s="128"/>
      <c r="L249" s="128"/>
      <c r="M249" s="325"/>
    </row>
    <row r="250" spans="1:13">
      <c r="A250" s="172"/>
      <c r="B250" s="169"/>
      <c r="C250" s="173"/>
      <c r="D250" s="171"/>
      <c r="E250" s="174"/>
      <c r="H250" s="128"/>
      <c r="I250" s="159" t="s">
        <v>86</v>
      </c>
      <c r="J250" s="128"/>
      <c r="L250" s="128"/>
      <c r="M250" s="327"/>
    </row>
    <row r="251" spans="1:13">
      <c r="A251" s="172"/>
      <c r="B251" s="169"/>
      <c r="C251" s="173"/>
      <c r="D251" s="171"/>
      <c r="E251" s="108"/>
      <c r="H251" s="128"/>
      <c r="I251" s="159"/>
      <c r="J251" s="128"/>
      <c r="L251" s="128"/>
      <c r="M251" s="128"/>
    </row>
    <row r="252" spans="1:13">
      <c r="A252" s="175"/>
      <c r="B252" s="176"/>
      <c r="C252" s="177"/>
      <c r="D252" s="171"/>
      <c r="E252" s="108"/>
      <c r="G252" s="128" t="s">
        <v>227</v>
      </c>
      <c r="H252" s="128"/>
      <c r="I252" s="160" t="s">
        <v>120</v>
      </c>
      <c r="J252" s="128"/>
      <c r="L252" s="128"/>
      <c r="M252" s="128"/>
    </row>
    <row r="253" spans="1:13">
      <c r="A253" s="175"/>
      <c r="B253" s="176"/>
      <c r="C253" s="177"/>
      <c r="D253" s="175"/>
      <c r="E253" s="108"/>
      <c r="H253" s="128"/>
      <c r="I253" s="159" t="s">
        <v>108</v>
      </c>
      <c r="J253" s="128"/>
      <c r="L253" s="128"/>
      <c r="M253" s="128"/>
    </row>
    <row r="254" spans="1:13">
      <c r="A254" s="175"/>
      <c r="B254" s="176"/>
      <c r="C254" s="177"/>
      <c r="D254" s="175"/>
      <c r="E254" s="108"/>
      <c r="H254" s="128"/>
      <c r="I254" s="159" t="s">
        <v>121</v>
      </c>
      <c r="J254" s="128"/>
      <c r="L254" s="128"/>
      <c r="M254" s="128"/>
    </row>
    <row r="255" spans="1:13">
      <c r="A255" s="11"/>
      <c r="B255" s="12"/>
      <c r="C255" s="13"/>
      <c r="D255" s="175"/>
      <c r="E255" s="108"/>
      <c r="I255" s="10"/>
    </row>
    <row r="257" spans="1:13" ht="15.75">
      <c r="A257" s="832" t="s">
        <v>223</v>
      </c>
      <c r="B257" s="832"/>
      <c r="C257" s="832"/>
      <c r="D257" s="832"/>
      <c r="E257" s="832"/>
      <c r="F257" s="832"/>
      <c r="G257" s="832"/>
      <c r="H257" s="832"/>
      <c r="I257" s="832"/>
      <c r="J257" s="832"/>
      <c r="K257" s="832"/>
      <c r="L257" s="832"/>
      <c r="M257" s="832"/>
    </row>
    <row r="258" spans="1:13" ht="15.75">
      <c r="A258" s="832" t="s">
        <v>224</v>
      </c>
      <c r="B258" s="832"/>
      <c r="C258" s="832"/>
      <c r="D258" s="832"/>
      <c r="E258" s="832"/>
      <c r="F258" s="832"/>
      <c r="G258" s="832"/>
      <c r="H258" s="832"/>
      <c r="I258" s="832"/>
      <c r="J258" s="832"/>
      <c r="K258" s="832"/>
      <c r="L258" s="832"/>
      <c r="M258" s="832"/>
    </row>
    <row r="259" spans="1:13" ht="15.75">
      <c r="A259" s="308"/>
      <c r="B259" s="308"/>
      <c r="C259" s="308"/>
      <c r="D259" s="308"/>
      <c r="E259" s="308"/>
      <c r="F259" s="308"/>
      <c r="G259" s="303"/>
      <c r="H259" s="308"/>
      <c r="I259" s="308"/>
      <c r="J259" s="308"/>
      <c r="K259" s="303"/>
      <c r="L259" s="308"/>
      <c r="M259" s="308"/>
    </row>
    <row r="260" spans="1:13" ht="16.5">
      <c r="A260" s="1" t="s">
        <v>213</v>
      </c>
      <c r="B260" s="2"/>
      <c r="C260" s="3" t="s">
        <v>2</v>
      </c>
      <c r="E260" s="108"/>
      <c r="G260" s="304"/>
      <c r="H260" s="4"/>
      <c r="I260" s="5"/>
      <c r="J260" s="4"/>
      <c r="M260" s="4"/>
    </row>
    <row r="261" spans="1:13" ht="17.25" thickBot="1">
      <c r="A261" s="14" t="s">
        <v>225</v>
      </c>
      <c r="B261" s="14"/>
      <c r="C261" s="292" t="s">
        <v>230</v>
      </c>
      <c r="D261" s="129"/>
      <c r="E261" s="109"/>
      <c r="F261" s="129"/>
      <c r="G261" s="305"/>
      <c r="H261" s="14"/>
      <c r="I261" s="16"/>
      <c r="J261" s="14"/>
      <c r="K261" s="129"/>
      <c r="L261" s="15"/>
      <c r="M261" s="14"/>
    </row>
    <row r="262" spans="1:13" ht="15.75" thickTop="1">
      <c r="A262" s="833" t="s">
        <v>3</v>
      </c>
      <c r="B262" s="836" t="s">
        <v>4</v>
      </c>
      <c r="C262" s="837"/>
      <c r="D262" s="289" t="s">
        <v>5</v>
      </c>
      <c r="E262" s="110" t="s">
        <v>6</v>
      </c>
      <c r="F262" s="130"/>
      <c r="G262" s="842" t="s">
        <v>7</v>
      </c>
      <c r="H262" s="843"/>
      <c r="I262" s="843"/>
      <c r="J262" s="843"/>
      <c r="K262" s="844" t="s">
        <v>8</v>
      </c>
      <c r="L262" s="844"/>
      <c r="M262" s="833" t="s">
        <v>9</v>
      </c>
    </row>
    <row r="263" spans="1:13">
      <c r="A263" s="834"/>
      <c r="B263" s="838"/>
      <c r="C263" s="839"/>
      <c r="D263" s="290" t="s">
        <v>10</v>
      </c>
      <c r="E263" s="111" t="s">
        <v>11</v>
      </c>
      <c r="F263" s="111" t="s">
        <v>12</v>
      </c>
      <c r="G263" s="111" t="s">
        <v>13</v>
      </c>
      <c r="H263" s="845" t="s">
        <v>14</v>
      </c>
      <c r="I263" s="6" t="s">
        <v>15</v>
      </c>
      <c r="J263" s="846" t="s">
        <v>14</v>
      </c>
      <c r="K263" s="321" t="s">
        <v>16</v>
      </c>
      <c r="L263" s="7" t="s">
        <v>17</v>
      </c>
      <c r="M263" s="834"/>
    </row>
    <row r="264" spans="1:13">
      <c r="A264" s="835"/>
      <c r="B264" s="840"/>
      <c r="C264" s="841"/>
      <c r="D264" s="291" t="s">
        <v>18</v>
      </c>
      <c r="E264" s="112" t="s">
        <v>18</v>
      </c>
      <c r="F264" s="112"/>
      <c r="G264" s="306" t="s">
        <v>19</v>
      </c>
      <c r="H264" s="835"/>
      <c r="I264" s="8" t="s">
        <v>19</v>
      </c>
      <c r="J264" s="847"/>
      <c r="K264" s="322" t="s">
        <v>233</v>
      </c>
      <c r="L264" s="322" t="s">
        <v>233</v>
      </c>
      <c r="M264" s="835"/>
    </row>
    <row r="265" spans="1:13" ht="15.75" thickBot="1">
      <c r="A265" s="17">
        <v>1</v>
      </c>
      <c r="B265" s="828">
        <v>2</v>
      </c>
      <c r="C265" s="829"/>
      <c r="D265" s="113">
        <v>3</v>
      </c>
      <c r="E265" s="113">
        <v>4</v>
      </c>
      <c r="F265" s="113">
        <v>5</v>
      </c>
      <c r="G265" s="113">
        <v>6</v>
      </c>
      <c r="H265" s="18">
        <v>7</v>
      </c>
      <c r="I265" s="18">
        <v>8</v>
      </c>
      <c r="J265" s="18">
        <v>9</v>
      </c>
      <c r="K265" s="113">
        <v>10</v>
      </c>
      <c r="L265" s="18">
        <v>11</v>
      </c>
      <c r="M265" s="18">
        <v>12</v>
      </c>
    </row>
    <row r="266" spans="1:13" ht="15.75" thickBot="1">
      <c r="A266" s="35" t="s">
        <v>20</v>
      </c>
      <c r="B266" s="36" t="s">
        <v>21</v>
      </c>
      <c r="C266" s="37"/>
      <c r="D266" s="30">
        <f>D267+D268</f>
        <v>2257113000</v>
      </c>
      <c r="E266" s="30">
        <f>E267</f>
        <v>0</v>
      </c>
      <c r="F266" s="30">
        <v>0</v>
      </c>
      <c r="G266" s="328">
        <v>354938724</v>
      </c>
      <c r="H266" s="214">
        <f>G266/D266*100</f>
        <v>15.725341354198926</v>
      </c>
      <c r="I266" s="30">
        <f>G266</f>
        <v>354938724</v>
      </c>
      <c r="J266" s="217">
        <f>I266/D266*100</f>
        <v>15.725341354198926</v>
      </c>
      <c r="K266" s="335">
        <f>3/12</f>
        <v>0.25</v>
      </c>
      <c r="L266" s="215">
        <f>J266</f>
        <v>15.725341354198926</v>
      </c>
      <c r="M266" s="53"/>
    </row>
    <row r="267" spans="1:13" ht="15.75" thickBot="1">
      <c r="A267" s="38" t="s">
        <v>22</v>
      </c>
      <c r="B267" s="39" t="s">
        <v>23</v>
      </c>
      <c r="C267" s="40"/>
      <c r="D267" s="31">
        <v>1872153000</v>
      </c>
      <c r="E267" s="114">
        <v>0</v>
      </c>
      <c r="F267" s="30">
        <v>0</v>
      </c>
      <c r="G267" s="329">
        <v>354938724</v>
      </c>
      <c r="H267" s="214">
        <f>G267/D267*100</f>
        <v>18.958852401486418</v>
      </c>
      <c r="I267" s="296">
        <f>G267</f>
        <v>354938724</v>
      </c>
      <c r="J267" s="217">
        <f>I267/D267*100</f>
        <v>18.958852401486418</v>
      </c>
      <c r="K267" s="335">
        <f>3/12</f>
        <v>0.25</v>
      </c>
      <c r="L267" s="215">
        <f>J267</f>
        <v>18.958852401486418</v>
      </c>
      <c r="M267" s="146"/>
    </row>
    <row r="268" spans="1:13" ht="15.75" thickBot="1">
      <c r="A268" s="139"/>
      <c r="B268" s="140" t="s">
        <v>107</v>
      </c>
      <c r="C268" s="141"/>
      <c r="D268" s="31">
        <v>384960000</v>
      </c>
      <c r="E268" s="114">
        <v>0</v>
      </c>
      <c r="F268" s="30">
        <v>0</v>
      </c>
      <c r="G268" s="147">
        <v>0</v>
      </c>
      <c r="H268" s="53">
        <v>0</v>
      </c>
      <c r="I268" s="190">
        <v>0</v>
      </c>
      <c r="J268" s="148">
        <v>0</v>
      </c>
      <c r="K268" s="331">
        <f>3/12</f>
        <v>0.25</v>
      </c>
      <c r="L268" s="334">
        <v>0</v>
      </c>
      <c r="M268" s="149"/>
    </row>
    <row r="269" spans="1:13" ht="15.75" thickBot="1">
      <c r="A269" s="35" t="s">
        <v>24</v>
      </c>
      <c r="B269" s="36" t="s">
        <v>25</v>
      </c>
      <c r="C269" s="37"/>
      <c r="D269" s="30">
        <f>D286+D296+D299+D303+D306+D309+D315+D318+D322+D325+D329+D332+D335+D338+D342+D345+D348+D353+D357+D360+D365+D368+D371+D374</f>
        <v>994212000</v>
      </c>
      <c r="E269" s="30">
        <v>0</v>
      </c>
      <c r="F269" s="30">
        <v>0</v>
      </c>
      <c r="G269" s="30">
        <f>G286+G296+G325+G329+G345+G348+G335+G338+G342+G357</f>
        <v>92109763</v>
      </c>
      <c r="H269" s="215">
        <f>G269/D269*100</f>
        <v>9.2645998036636055</v>
      </c>
      <c r="I269" s="296">
        <f>G269</f>
        <v>92109763</v>
      </c>
      <c r="J269" s="217">
        <f>I269/D269*100</f>
        <v>9.2645998036636055</v>
      </c>
      <c r="K269" s="336">
        <f>3/12</f>
        <v>0.25</v>
      </c>
      <c r="L269" s="215">
        <f>J269</f>
        <v>9.2645998036636055</v>
      </c>
      <c r="M269" s="30"/>
    </row>
    <row r="270" spans="1:13">
      <c r="A270" s="41" t="s">
        <v>26</v>
      </c>
      <c r="B270" s="42" t="s">
        <v>27</v>
      </c>
      <c r="C270" s="43"/>
      <c r="D270" s="32"/>
      <c r="E270" s="115"/>
      <c r="F270" s="32"/>
      <c r="G270" s="150"/>
      <c r="H270" s="151"/>
      <c r="I270" s="191"/>
      <c r="J270" s="150"/>
      <c r="K270" s="32"/>
      <c r="L270" s="32"/>
      <c r="M270" s="32"/>
    </row>
    <row r="271" spans="1:13">
      <c r="A271" s="44"/>
      <c r="B271" s="45" t="s">
        <v>26</v>
      </c>
      <c r="C271" s="46" t="s">
        <v>28</v>
      </c>
      <c r="D271" s="33">
        <v>6000000</v>
      </c>
      <c r="E271" s="116">
        <v>0</v>
      </c>
      <c r="F271" s="131">
        <v>0</v>
      </c>
      <c r="G271" s="192">
        <f>999000+501000</f>
        <v>1500000</v>
      </c>
      <c r="H271" s="299">
        <f>G271/D271*100</f>
        <v>25</v>
      </c>
      <c r="I271" s="192">
        <f>G271</f>
        <v>1500000</v>
      </c>
      <c r="J271" s="301">
        <f>H271</f>
        <v>25</v>
      </c>
      <c r="K271" s="331">
        <f>3/12</f>
        <v>0.25</v>
      </c>
      <c r="L271" s="311">
        <f>J271</f>
        <v>25</v>
      </c>
      <c r="M271" s="131"/>
    </row>
    <row r="272" spans="1:13">
      <c r="A272" s="44"/>
      <c r="B272" s="47" t="s">
        <v>29</v>
      </c>
      <c r="C272" s="48" t="s">
        <v>30</v>
      </c>
      <c r="D272" s="34">
        <v>8000000</v>
      </c>
      <c r="E272" s="297">
        <v>0</v>
      </c>
      <c r="F272" s="132">
        <v>0</v>
      </c>
      <c r="G272" s="192">
        <f>467674+282053</f>
        <v>749727</v>
      </c>
      <c r="H272" s="299">
        <f t="shared" ref="H272:H285" si="77">G272/D272*100</f>
        <v>9.3715875000000004</v>
      </c>
      <c r="I272" s="192">
        <f>G272</f>
        <v>749727</v>
      </c>
      <c r="J272" s="301">
        <f t="shared" ref="J272:J282" si="78">I272/D272*100</f>
        <v>9.3715875000000004</v>
      </c>
      <c r="K272" s="331">
        <f>3/12</f>
        <v>0.25</v>
      </c>
      <c r="L272" s="311">
        <f t="shared" ref="L272:L284" si="79">J272</f>
        <v>9.3715875000000004</v>
      </c>
      <c r="M272" s="132"/>
    </row>
    <row r="273" spans="1:13">
      <c r="A273" s="44"/>
      <c r="B273" s="47" t="s">
        <v>29</v>
      </c>
      <c r="C273" s="48" t="s">
        <v>31</v>
      </c>
      <c r="D273" s="34">
        <v>5000000</v>
      </c>
      <c r="E273" s="297">
        <v>0</v>
      </c>
      <c r="F273" s="132">
        <v>0</v>
      </c>
      <c r="G273" s="192">
        <f>307450+140250</f>
        <v>447700</v>
      </c>
      <c r="H273" s="299">
        <f t="shared" si="77"/>
        <v>8.9539999999999988</v>
      </c>
      <c r="I273" s="192">
        <f t="shared" ref="I273:I285" si="80">G273</f>
        <v>447700</v>
      </c>
      <c r="J273" s="301">
        <f t="shared" si="78"/>
        <v>8.9539999999999988</v>
      </c>
      <c r="K273" s="331">
        <f t="shared" ref="K273:K285" si="81">3/12</f>
        <v>0.25</v>
      </c>
      <c r="L273" s="311">
        <f t="shared" si="79"/>
        <v>8.9539999999999988</v>
      </c>
      <c r="M273" s="132"/>
    </row>
    <row r="274" spans="1:13">
      <c r="A274" s="44"/>
      <c r="B274" s="47" t="s">
        <v>29</v>
      </c>
      <c r="C274" s="48" t="s">
        <v>32</v>
      </c>
      <c r="D274" s="34">
        <v>12000000</v>
      </c>
      <c r="E274" s="297">
        <v>0</v>
      </c>
      <c r="F274" s="132">
        <v>0</v>
      </c>
      <c r="G274" s="192">
        <f>1262852+588784</f>
        <v>1851636</v>
      </c>
      <c r="H274" s="299">
        <f t="shared" si="77"/>
        <v>15.430299999999999</v>
      </c>
      <c r="I274" s="192">
        <f t="shared" si="80"/>
        <v>1851636</v>
      </c>
      <c r="J274" s="301">
        <f t="shared" si="78"/>
        <v>15.430299999999999</v>
      </c>
      <c r="K274" s="331">
        <f t="shared" si="81"/>
        <v>0.25</v>
      </c>
      <c r="L274" s="311">
        <f t="shared" si="79"/>
        <v>15.430299999999999</v>
      </c>
      <c r="M274" s="132"/>
    </row>
    <row r="275" spans="1:13">
      <c r="A275" s="44"/>
      <c r="B275" s="47" t="s">
        <v>33</v>
      </c>
      <c r="C275" s="48" t="s">
        <v>34</v>
      </c>
      <c r="D275" s="34">
        <v>12105000</v>
      </c>
      <c r="E275" s="117">
        <v>0</v>
      </c>
      <c r="F275" s="132">
        <v>0</v>
      </c>
      <c r="G275" s="192">
        <v>2000000</v>
      </c>
      <c r="H275" s="299">
        <f t="shared" si="77"/>
        <v>16.522098306484921</v>
      </c>
      <c r="I275" s="192">
        <f t="shared" si="80"/>
        <v>2000000</v>
      </c>
      <c r="J275" s="301">
        <f t="shared" si="78"/>
        <v>16.522098306484921</v>
      </c>
      <c r="K275" s="331">
        <f t="shared" si="81"/>
        <v>0.25</v>
      </c>
      <c r="L275" s="311">
        <f t="shared" si="79"/>
        <v>16.522098306484921</v>
      </c>
      <c r="M275" s="132"/>
    </row>
    <row r="276" spans="1:13">
      <c r="A276" s="44"/>
      <c r="B276" s="47">
        <v>10</v>
      </c>
      <c r="C276" s="48" t="s">
        <v>35</v>
      </c>
      <c r="D276" s="34">
        <v>11895000</v>
      </c>
      <c r="E276" s="117">
        <v>0</v>
      </c>
      <c r="F276" s="132">
        <v>0</v>
      </c>
      <c r="G276" s="192">
        <f>1500000+1000000</f>
        <v>2500000</v>
      </c>
      <c r="H276" s="299">
        <f t="shared" si="77"/>
        <v>21.017234131988229</v>
      </c>
      <c r="I276" s="192">
        <f t="shared" si="80"/>
        <v>2500000</v>
      </c>
      <c r="J276" s="301">
        <f t="shared" si="78"/>
        <v>21.017234131988229</v>
      </c>
      <c r="K276" s="331">
        <f t="shared" si="81"/>
        <v>0.25</v>
      </c>
      <c r="L276" s="311">
        <f t="shared" si="79"/>
        <v>21.017234131988229</v>
      </c>
      <c r="M276" s="132"/>
    </row>
    <row r="277" spans="1:13">
      <c r="A277" s="44"/>
      <c r="B277" s="47">
        <v>11</v>
      </c>
      <c r="C277" s="48" t="s">
        <v>36</v>
      </c>
      <c r="D277" s="34">
        <v>6000000</v>
      </c>
      <c r="E277" s="117">
        <v>0</v>
      </c>
      <c r="F277" s="132">
        <v>0</v>
      </c>
      <c r="G277" s="192">
        <f>1000000+500000</f>
        <v>1500000</v>
      </c>
      <c r="H277" s="299">
        <f t="shared" si="77"/>
        <v>25</v>
      </c>
      <c r="I277" s="192">
        <f t="shared" si="80"/>
        <v>1500000</v>
      </c>
      <c r="J277" s="301">
        <f t="shared" si="78"/>
        <v>25</v>
      </c>
      <c r="K277" s="331">
        <f t="shared" si="81"/>
        <v>0.25</v>
      </c>
      <c r="L277" s="311">
        <f t="shared" si="79"/>
        <v>25</v>
      </c>
      <c r="M277" s="132"/>
    </row>
    <row r="278" spans="1:13">
      <c r="A278" s="44"/>
      <c r="B278" s="47">
        <v>11</v>
      </c>
      <c r="C278" s="48" t="s">
        <v>37</v>
      </c>
      <c r="D278" s="34">
        <v>18000000</v>
      </c>
      <c r="E278" s="117">
        <v>0</v>
      </c>
      <c r="F278" s="132">
        <v>0</v>
      </c>
      <c r="G278" s="192">
        <f>2525600+17850</f>
        <v>2543450</v>
      </c>
      <c r="H278" s="299">
        <f t="shared" si="77"/>
        <v>14.130277777777778</v>
      </c>
      <c r="I278" s="192">
        <f t="shared" si="80"/>
        <v>2543450</v>
      </c>
      <c r="J278" s="301">
        <f t="shared" si="78"/>
        <v>14.130277777777778</v>
      </c>
      <c r="K278" s="331">
        <f t="shared" si="81"/>
        <v>0.25</v>
      </c>
      <c r="L278" s="311">
        <f t="shared" si="79"/>
        <v>14.130277777777778</v>
      </c>
      <c r="M278" s="132"/>
    </row>
    <row r="279" spans="1:13">
      <c r="A279" s="44"/>
      <c r="B279" s="47">
        <v>12</v>
      </c>
      <c r="C279" s="48" t="s">
        <v>38</v>
      </c>
      <c r="D279" s="34">
        <v>5000000</v>
      </c>
      <c r="E279" s="117">
        <v>0</v>
      </c>
      <c r="F279" s="132">
        <v>0</v>
      </c>
      <c r="G279" s="192">
        <v>1000000</v>
      </c>
      <c r="H279" s="299">
        <f t="shared" si="77"/>
        <v>20</v>
      </c>
      <c r="I279" s="192">
        <f t="shared" si="80"/>
        <v>1000000</v>
      </c>
      <c r="J279" s="301">
        <f t="shared" si="78"/>
        <v>20</v>
      </c>
      <c r="K279" s="331">
        <f t="shared" si="81"/>
        <v>0.25</v>
      </c>
      <c r="L279" s="311">
        <f t="shared" si="79"/>
        <v>20</v>
      </c>
      <c r="M279" s="132"/>
    </row>
    <row r="280" spans="1:13">
      <c r="A280" s="44"/>
      <c r="B280" s="47">
        <v>13</v>
      </c>
      <c r="C280" s="48" t="s">
        <v>39</v>
      </c>
      <c r="D280" s="34">
        <v>5000000</v>
      </c>
      <c r="E280" s="117">
        <v>0</v>
      </c>
      <c r="F280" s="132">
        <v>0</v>
      </c>
      <c r="G280" s="192">
        <f>1000000+250000</f>
        <v>1250000</v>
      </c>
      <c r="H280" s="299">
        <f t="shared" si="77"/>
        <v>25</v>
      </c>
      <c r="I280" s="192">
        <f t="shared" si="80"/>
        <v>1250000</v>
      </c>
      <c r="J280" s="301">
        <f t="shared" si="78"/>
        <v>25</v>
      </c>
      <c r="K280" s="331">
        <f t="shared" si="81"/>
        <v>0.25</v>
      </c>
      <c r="L280" s="311">
        <f t="shared" si="79"/>
        <v>25</v>
      </c>
      <c r="M280" s="132"/>
    </row>
    <row r="281" spans="1:13">
      <c r="A281" s="44"/>
      <c r="B281" s="47">
        <v>15</v>
      </c>
      <c r="C281" s="48" t="s">
        <v>40</v>
      </c>
      <c r="D281" s="34">
        <v>3000000</v>
      </c>
      <c r="E281" s="117">
        <v>0</v>
      </c>
      <c r="F281" s="132">
        <v>0</v>
      </c>
      <c r="G281" s="192">
        <f>260000+140000</f>
        <v>400000</v>
      </c>
      <c r="H281" s="299">
        <f t="shared" si="77"/>
        <v>13.333333333333334</v>
      </c>
      <c r="I281" s="192">
        <f t="shared" si="80"/>
        <v>400000</v>
      </c>
      <c r="J281" s="301">
        <f t="shared" si="78"/>
        <v>13.333333333333334</v>
      </c>
      <c r="K281" s="331">
        <f t="shared" si="81"/>
        <v>0.25</v>
      </c>
      <c r="L281" s="311">
        <f t="shared" si="79"/>
        <v>13.333333333333334</v>
      </c>
      <c r="M281" s="132"/>
    </row>
    <row r="282" spans="1:13">
      <c r="A282" s="44"/>
      <c r="B282" s="47">
        <v>17</v>
      </c>
      <c r="C282" s="48" t="s">
        <v>41</v>
      </c>
      <c r="D282" s="34">
        <v>5000000</v>
      </c>
      <c r="E282" s="117">
        <v>0</v>
      </c>
      <c r="F282" s="132">
        <v>0</v>
      </c>
      <c r="G282" s="192">
        <f>1000000+250000</f>
        <v>1250000</v>
      </c>
      <c r="H282" s="299">
        <f t="shared" si="77"/>
        <v>25</v>
      </c>
      <c r="I282" s="192">
        <f t="shared" si="80"/>
        <v>1250000</v>
      </c>
      <c r="J282" s="301">
        <f t="shared" si="78"/>
        <v>25</v>
      </c>
      <c r="K282" s="331">
        <f t="shared" si="81"/>
        <v>0.25</v>
      </c>
      <c r="L282" s="311">
        <f t="shared" si="79"/>
        <v>25</v>
      </c>
      <c r="M282" s="132"/>
    </row>
    <row r="283" spans="1:13">
      <c r="A283" s="44"/>
      <c r="B283" s="47">
        <v>17</v>
      </c>
      <c r="C283" s="48" t="s">
        <v>42</v>
      </c>
      <c r="D283" s="34">
        <v>7000000</v>
      </c>
      <c r="E283" s="117">
        <v>0</v>
      </c>
      <c r="F283" s="132">
        <v>0</v>
      </c>
      <c r="G283" s="192">
        <f>1200000+400000</f>
        <v>1600000</v>
      </c>
      <c r="H283" s="299">
        <f t="shared" si="77"/>
        <v>22.857142857142858</v>
      </c>
      <c r="I283" s="192">
        <f t="shared" si="80"/>
        <v>1600000</v>
      </c>
      <c r="J283" s="301">
        <f>I283/D283*100</f>
        <v>22.857142857142858</v>
      </c>
      <c r="K283" s="331">
        <f t="shared" si="81"/>
        <v>0.25</v>
      </c>
      <c r="L283" s="311">
        <f t="shared" si="79"/>
        <v>22.857142857142858</v>
      </c>
      <c r="M283" s="132"/>
    </row>
    <row r="284" spans="1:13">
      <c r="A284" s="44"/>
      <c r="B284" s="47">
        <v>18</v>
      </c>
      <c r="C284" s="48" t="s">
        <v>43</v>
      </c>
      <c r="D284" s="34">
        <v>15000000</v>
      </c>
      <c r="E284" s="117">
        <v>0</v>
      </c>
      <c r="F284" s="132">
        <v>0</v>
      </c>
      <c r="G284" s="192">
        <f>1450000+375000</f>
        <v>1825000</v>
      </c>
      <c r="H284" s="299">
        <f t="shared" si="77"/>
        <v>12.166666666666668</v>
      </c>
      <c r="I284" s="192">
        <f t="shared" si="80"/>
        <v>1825000</v>
      </c>
      <c r="J284" s="301">
        <f t="shared" ref="J284:J285" si="82">I284/D284*100</f>
        <v>12.166666666666668</v>
      </c>
      <c r="K284" s="331">
        <f t="shared" si="81"/>
        <v>0.25</v>
      </c>
      <c r="L284" s="311">
        <f t="shared" si="79"/>
        <v>12.166666666666668</v>
      </c>
      <c r="M284" s="132"/>
    </row>
    <row r="285" spans="1:13" ht="15.75" thickBot="1">
      <c r="A285" s="44"/>
      <c r="B285" s="49">
        <v>19</v>
      </c>
      <c r="C285" s="50" t="s">
        <v>44</v>
      </c>
      <c r="D285" s="51">
        <v>51212000</v>
      </c>
      <c r="E285" s="298"/>
      <c r="F285" s="133">
        <v>0</v>
      </c>
      <c r="G285" s="192">
        <v>51000</v>
      </c>
      <c r="H285" s="300">
        <f t="shared" si="77"/>
        <v>9.9586034523158631E-2</v>
      </c>
      <c r="I285" s="192">
        <f t="shared" si="80"/>
        <v>51000</v>
      </c>
      <c r="J285" s="301">
        <f t="shared" si="82"/>
        <v>9.9586034523158631E-2</v>
      </c>
      <c r="K285" s="331">
        <f t="shared" si="81"/>
        <v>0.25</v>
      </c>
      <c r="L285" s="311">
        <f>J285</f>
        <v>9.9586034523158631E-2</v>
      </c>
      <c r="M285" s="133"/>
    </row>
    <row r="286" spans="1:13" ht="15.75" thickBot="1">
      <c r="A286" s="35"/>
      <c r="B286" s="52"/>
      <c r="C286" s="37" t="s">
        <v>45</v>
      </c>
      <c r="D286" s="53">
        <f>SUM(D271:D285)</f>
        <v>170212000</v>
      </c>
      <c r="E286" s="53">
        <f>SUM(E271:E285)</f>
        <v>0</v>
      </c>
      <c r="F286" s="53">
        <f t="shared" ref="F286" si="83">SUM(F271:F285)</f>
        <v>0</v>
      </c>
      <c r="G286" s="53">
        <f>SUM(G271:G285)</f>
        <v>20468513</v>
      </c>
      <c r="H286" s="214">
        <f>G286/D286*100</f>
        <v>12.025305501374756</v>
      </c>
      <c r="I286" s="194">
        <f t="shared" ref="I286" si="84">SUM(I271:I285)</f>
        <v>20468513</v>
      </c>
      <c r="J286" s="214">
        <f>I286/D286*100</f>
        <v>12.025305501374756</v>
      </c>
      <c r="K286" s="332">
        <f>3/12</f>
        <v>0.25</v>
      </c>
      <c r="L286" s="214">
        <f>J286</f>
        <v>12.025305501374756</v>
      </c>
      <c r="M286" s="53"/>
    </row>
    <row r="287" spans="1:13">
      <c r="A287" s="54" t="s">
        <v>29</v>
      </c>
      <c r="B287" s="55" t="s">
        <v>90</v>
      </c>
      <c r="C287" s="56"/>
      <c r="D287" s="57"/>
      <c r="E287" s="119"/>
      <c r="F287" s="131"/>
      <c r="G287" s="152"/>
      <c r="H287" s="152"/>
      <c r="I287" s="119"/>
      <c r="J287" s="152"/>
      <c r="K287" s="152"/>
      <c r="L287" s="152"/>
      <c r="M287" s="131"/>
    </row>
    <row r="288" spans="1:13">
      <c r="A288" s="279"/>
      <c r="B288" s="47" t="s">
        <v>53</v>
      </c>
      <c r="C288" s="46" t="s">
        <v>216</v>
      </c>
      <c r="D288" s="80">
        <v>40000000</v>
      </c>
      <c r="E288" s="119"/>
      <c r="F288" s="131"/>
      <c r="G288" s="152"/>
      <c r="H288" s="152"/>
      <c r="I288" s="119"/>
      <c r="J288" s="152"/>
      <c r="K288" s="331">
        <f t="shared" ref="K288" si="85">3/12</f>
        <v>0.25</v>
      </c>
      <c r="L288" s="152">
        <v>0</v>
      </c>
      <c r="M288" s="131"/>
    </row>
    <row r="289" spans="1:13">
      <c r="A289" s="44"/>
      <c r="B289" s="47" t="s">
        <v>46</v>
      </c>
      <c r="C289" s="58" t="s">
        <v>110</v>
      </c>
      <c r="D289" s="59">
        <v>20000000</v>
      </c>
      <c r="E289" s="120">
        <v>0</v>
      </c>
      <c r="F289" s="132">
        <v>0</v>
      </c>
      <c r="G289" s="119">
        <v>0</v>
      </c>
      <c r="H289" s="59" t="s">
        <v>132</v>
      </c>
      <c r="I289" s="119">
        <f>G289</f>
        <v>0</v>
      </c>
      <c r="J289" s="59" t="s">
        <v>132</v>
      </c>
      <c r="K289" s="152">
        <v>0</v>
      </c>
      <c r="L289" s="59">
        <v>0</v>
      </c>
      <c r="M289" s="132"/>
    </row>
    <row r="290" spans="1:13">
      <c r="A290" s="44"/>
      <c r="B290" s="47">
        <v>21</v>
      </c>
      <c r="C290" s="48" t="s">
        <v>47</v>
      </c>
      <c r="D290" s="59">
        <v>30000000</v>
      </c>
      <c r="E290" s="120">
        <v>0</v>
      </c>
      <c r="F290" s="132">
        <v>0</v>
      </c>
      <c r="G290" s="206">
        <v>0</v>
      </c>
      <c r="H290" s="59" t="s">
        <v>132</v>
      </c>
      <c r="I290" s="119">
        <f t="shared" ref="I290:I291" si="86">G290</f>
        <v>0</v>
      </c>
      <c r="J290" s="59" t="s">
        <v>132</v>
      </c>
      <c r="K290" s="59">
        <v>0</v>
      </c>
      <c r="L290" s="59">
        <v>0</v>
      </c>
      <c r="M290" s="132"/>
    </row>
    <row r="291" spans="1:13">
      <c r="A291" s="44"/>
      <c r="B291" s="47">
        <v>22</v>
      </c>
      <c r="C291" s="48" t="s">
        <v>48</v>
      </c>
      <c r="D291" s="60">
        <v>30000000</v>
      </c>
      <c r="E291" s="120">
        <v>0</v>
      </c>
      <c r="F291" s="132">
        <v>0</v>
      </c>
      <c r="G291" s="206">
        <v>0</v>
      </c>
      <c r="H291" s="299">
        <f t="shared" ref="H291:H294" si="87">G291/D291*100</f>
        <v>0</v>
      </c>
      <c r="I291" s="119">
        <f t="shared" si="86"/>
        <v>0</v>
      </c>
      <c r="J291" s="301">
        <f t="shared" ref="J291:J295" si="88">I291/D291*100</f>
        <v>0</v>
      </c>
      <c r="K291" s="59">
        <v>0</v>
      </c>
      <c r="L291" s="152">
        <f t="shared" ref="L291" si="89">I291</f>
        <v>0</v>
      </c>
      <c r="M291" s="154"/>
    </row>
    <row r="292" spans="1:13">
      <c r="A292" s="44"/>
      <c r="B292" s="47">
        <v>24</v>
      </c>
      <c r="C292" s="48" t="s">
        <v>49</v>
      </c>
      <c r="D292" s="60">
        <v>35000000</v>
      </c>
      <c r="E292" s="120">
        <v>0</v>
      </c>
      <c r="F292" s="132">
        <v>0</v>
      </c>
      <c r="G292" s="206">
        <v>6051250</v>
      </c>
      <c r="H292" s="299">
        <f t="shared" si="87"/>
        <v>17.289285714285715</v>
      </c>
      <c r="I292" s="192">
        <f>G292</f>
        <v>6051250</v>
      </c>
      <c r="J292" s="301">
        <f t="shared" si="88"/>
        <v>17.289285714285715</v>
      </c>
      <c r="K292" s="331">
        <f>3/12</f>
        <v>0.25</v>
      </c>
      <c r="L292" s="311">
        <f>J292</f>
        <v>17.289285714285715</v>
      </c>
      <c r="M292" s="132"/>
    </row>
    <row r="293" spans="1:13">
      <c r="A293" s="44"/>
      <c r="B293" s="47">
        <v>26</v>
      </c>
      <c r="C293" s="48" t="s">
        <v>50</v>
      </c>
      <c r="D293" s="60">
        <v>4000000</v>
      </c>
      <c r="E293" s="120">
        <v>0</v>
      </c>
      <c r="F293" s="132">
        <v>0</v>
      </c>
      <c r="G293" s="206">
        <v>1000000</v>
      </c>
      <c r="H293" s="299">
        <f t="shared" si="87"/>
        <v>25</v>
      </c>
      <c r="I293" s="192">
        <f t="shared" ref="I293:I295" si="90">G293</f>
        <v>1000000</v>
      </c>
      <c r="J293" s="301">
        <f t="shared" si="88"/>
        <v>25</v>
      </c>
      <c r="K293" s="331">
        <f t="shared" ref="K293:K295" si="91">3/12</f>
        <v>0.25</v>
      </c>
      <c r="L293" s="311">
        <f t="shared" ref="L293:L295" si="92">J293</f>
        <v>25</v>
      </c>
      <c r="M293" s="132"/>
    </row>
    <row r="294" spans="1:13">
      <c r="A294" s="44"/>
      <c r="B294" s="47">
        <v>28</v>
      </c>
      <c r="C294" s="48" t="s">
        <v>51</v>
      </c>
      <c r="D294" s="60">
        <v>12000000</v>
      </c>
      <c r="E294" s="120">
        <v>0</v>
      </c>
      <c r="F294" s="132">
        <v>0</v>
      </c>
      <c r="G294" s="206">
        <f>300000+300000+2250000</f>
        <v>2850000</v>
      </c>
      <c r="H294" s="299">
        <f t="shared" si="87"/>
        <v>23.75</v>
      </c>
      <c r="I294" s="192">
        <f t="shared" si="90"/>
        <v>2850000</v>
      </c>
      <c r="J294" s="301">
        <f t="shared" si="88"/>
        <v>23.75</v>
      </c>
      <c r="K294" s="331">
        <f t="shared" si="91"/>
        <v>0.25</v>
      </c>
      <c r="L294" s="311">
        <f t="shared" si="92"/>
        <v>23.75</v>
      </c>
      <c r="M294" s="132"/>
    </row>
    <row r="295" spans="1:13">
      <c r="A295" s="44"/>
      <c r="B295" s="61">
        <v>29</v>
      </c>
      <c r="C295" s="50" t="s">
        <v>52</v>
      </c>
      <c r="D295" s="62">
        <v>2000000</v>
      </c>
      <c r="E295" s="121">
        <v>0</v>
      </c>
      <c r="F295" s="133">
        <v>0</v>
      </c>
      <c r="G295" s="197">
        <f>200000+100000</f>
        <v>300000</v>
      </c>
      <c r="H295" s="312">
        <f>G295/D295*100</f>
        <v>15</v>
      </c>
      <c r="I295" s="313">
        <f t="shared" si="90"/>
        <v>300000</v>
      </c>
      <c r="J295" s="314">
        <f t="shared" si="88"/>
        <v>15</v>
      </c>
      <c r="K295" s="331">
        <f t="shared" si="91"/>
        <v>0.25</v>
      </c>
      <c r="L295" s="311">
        <f t="shared" si="92"/>
        <v>15</v>
      </c>
      <c r="M295" s="133"/>
    </row>
    <row r="296" spans="1:13">
      <c r="A296" s="63"/>
      <c r="B296" s="64"/>
      <c r="C296" s="65" t="s">
        <v>45</v>
      </c>
      <c r="D296" s="66">
        <f>SUM(D288:D295)</f>
        <v>173000000</v>
      </c>
      <c r="E296" s="122"/>
      <c r="F296" s="66"/>
      <c r="G296" s="285">
        <f>SUM(G288:G295)</f>
        <v>10201250</v>
      </c>
      <c r="H296" s="323">
        <f>G296/D296*100</f>
        <v>5.8966763005780347</v>
      </c>
      <c r="I296" s="286">
        <f>SUM(I288:I295)</f>
        <v>10201250</v>
      </c>
      <c r="J296" s="323">
        <f>I296/D296*100</f>
        <v>5.8966763005780347</v>
      </c>
      <c r="K296" s="333">
        <f>3/12</f>
        <v>0.25</v>
      </c>
      <c r="L296" s="302">
        <f>J296</f>
        <v>5.8966763005780347</v>
      </c>
      <c r="M296" s="66"/>
    </row>
    <row r="297" spans="1:13">
      <c r="A297" s="67" t="s">
        <v>53</v>
      </c>
      <c r="B297" s="68" t="s">
        <v>54</v>
      </c>
      <c r="C297" s="69"/>
      <c r="D297" s="70"/>
      <c r="E297" s="123"/>
      <c r="F297" s="134"/>
      <c r="G297" s="164"/>
      <c r="H297" s="148"/>
      <c r="I297" s="164"/>
      <c r="J297" s="152"/>
      <c r="K297" s="152"/>
      <c r="L297" s="156"/>
      <c r="M297" s="134"/>
    </row>
    <row r="298" spans="1:13">
      <c r="A298" s="44"/>
      <c r="B298" s="47" t="s">
        <v>26</v>
      </c>
      <c r="C298" s="48" t="s">
        <v>55</v>
      </c>
      <c r="D298" s="60">
        <v>25000000</v>
      </c>
      <c r="E298" s="120">
        <v>0</v>
      </c>
      <c r="F298" s="208">
        <v>0</v>
      </c>
      <c r="G298" s="197" t="s">
        <v>132</v>
      </c>
      <c r="H298" s="59" t="s">
        <v>132</v>
      </c>
      <c r="I298" s="197" t="s">
        <v>132</v>
      </c>
      <c r="J298" s="59" t="s">
        <v>132</v>
      </c>
      <c r="K298" s="59">
        <v>0</v>
      </c>
      <c r="L298" s="59">
        <v>0</v>
      </c>
      <c r="M298" s="132"/>
    </row>
    <row r="299" spans="1:13">
      <c r="A299" s="63"/>
      <c r="B299" s="71"/>
      <c r="C299" s="65" t="s">
        <v>45</v>
      </c>
      <c r="D299" s="66">
        <f>SUM(D298:D298)</f>
        <v>25000000</v>
      </c>
      <c r="E299" s="122">
        <f>SUM(E298:E298)</f>
        <v>0</v>
      </c>
      <c r="F299" s="202">
        <f>SUM(F298:F298)</f>
        <v>0</v>
      </c>
      <c r="G299" s="122" t="s">
        <v>132</v>
      </c>
      <c r="H299" s="66" t="s">
        <v>132</v>
      </c>
      <c r="I299" s="122" t="s">
        <v>132</v>
      </c>
      <c r="J299" s="155" t="s">
        <v>132</v>
      </c>
      <c r="K299" s="66">
        <f>SUM(K298:K298)</f>
        <v>0</v>
      </c>
      <c r="L299" s="66">
        <f>SUM(L298:L298)</f>
        <v>0</v>
      </c>
      <c r="M299" s="66"/>
    </row>
    <row r="300" spans="1:13">
      <c r="A300" s="44">
        <v>15</v>
      </c>
      <c r="B300" s="72" t="s">
        <v>61</v>
      </c>
      <c r="C300" s="73"/>
      <c r="D300" s="57"/>
      <c r="E300" s="119"/>
      <c r="F300" s="209"/>
      <c r="G300" s="119" t="s">
        <v>132</v>
      </c>
      <c r="H300" s="152" t="s">
        <v>132</v>
      </c>
      <c r="I300" s="119" t="s">
        <v>132</v>
      </c>
      <c r="J300" s="152" t="s">
        <v>132</v>
      </c>
      <c r="K300" s="152"/>
      <c r="L300" s="152"/>
      <c r="M300" s="131"/>
    </row>
    <row r="301" spans="1:13">
      <c r="A301" s="44"/>
      <c r="B301" s="47">
        <v>18</v>
      </c>
      <c r="C301" s="48" t="s">
        <v>62</v>
      </c>
      <c r="D301" s="60">
        <v>5000000</v>
      </c>
      <c r="E301" s="120">
        <v>0</v>
      </c>
      <c r="F301" s="208">
        <v>0</v>
      </c>
      <c r="G301" s="120" t="s">
        <v>132</v>
      </c>
      <c r="H301" s="59" t="s">
        <v>132</v>
      </c>
      <c r="I301" s="120" t="s">
        <v>132</v>
      </c>
      <c r="J301" s="59" t="s">
        <v>132</v>
      </c>
      <c r="K301" s="59">
        <v>0</v>
      </c>
      <c r="L301" s="59">
        <v>0</v>
      </c>
      <c r="M301" s="132"/>
    </row>
    <row r="302" spans="1:13" ht="25.5">
      <c r="A302" s="44"/>
      <c r="B302" s="49">
        <v>63</v>
      </c>
      <c r="C302" s="74" t="s">
        <v>63</v>
      </c>
      <c r="D302" s="62">
        <v>5000000</v>
      </c>
      <c r="E302" s="121">
        <v>0</v>
      </c>
      <c r="F302" s="210">
        <v>0</v>
      </c>
      <c r="G302" s="121" t="s">
        <v>132</v>
      </c>
      <c r="H302" s="153" t="s">
        <v>132</v>
      </c>
      <c r="I302" s="121" t="s">
        <v>132</v>
      </c>
      <c r="J302" s="153" t="s">
        <v>132</v>
      </c>
      <c r="K302" s="59">
        <v>0</v>
      </c>
      <c r="L302" s="153">
        <v>0</v>
      </c>
      <c r="M302" s="133"/>
    </row>
    <row r="303" spans="1:13">
      <c r="A303" s="63"/>
      <c r="B303" s="64"/>
      <c r="C303" s="65" t="s">
        <v>45</v>
      </c>
      <c r="D303" s="66">
        <f>SUM(D301:D302)</f>
        <v>10000000</v>
      </c>
      <c r="E303" s="122">
        <f t="shared" ref="E303" si="93">SUM(E301:E302)</f>
        <v>0</v>
      </c>
      <c r="F303" s="202">
        <f>SUM(F301:F302)</f>
        <v>0</v>
      </c>
      <c r="G303" s="195" t="s">
        <v>132</v>
      </c>
      <c r="H303" s="66" t="s">
        <v>132</v>
      </c>
      <c r="I303" s="195" t="s">
        <v>132</v>
      </c>
      <c r="J303" s="155" t="s">
        <v>132</v>
      </c>
      <c r="K303" s="66">
        <f t="shared" ref="K303:L303" si="94">SUM(K301:K302)</f>
        <v>0</v>
      </c>
      <c r="L303" s="66">
        <f t="shared" si="94"/>
        <v>0</v>
      </c>
      <c r="M303" s="66"/>
    </row>
    <row r="304" spans="1:13">
      <c r="A304" s="44">
        <v>30</v>
      </c>
      <c r="B304" s="77" t="s">
        <v>64</v>
      </c>
      <c r="C304" s="78"/>
      <c r="D304" s="57"/>
      <c r="E304" s="119"/>
      <c r="F304" s="209"/>
      <c r="G304" s="119"/>
      <c r="H304" s="152"/>
      <c r="I304" s="119"/>
      <c r="J304" s="152"/>
      <c r="K304" s="152"/>
      <c r="L304" s="152"/>
      <c r="M304" s="131"/>
    </row>
    <row r="305" spans="1:13">
      <c r="A305" s="44"/>
      <c r="B305" s="45">
        <v>2</v>
      </c>
      <c r="C305" s="79" t="s">
        <v>102</v>
      </c>
      <c r="D305" s="80">
        <v>200000000</v>
      </c>
      <c r="E305" s="124">
        <v>0</v>
      </c>
      <c r="F305" s="209">
        <v>0</v>
      </c>
      <c r="G305" s="124">
        <v>0</v>
      </c>
      <c r="H305" s="152">
        <v>0</v>
      </c>
      <c r="I305" s="120" t="s">
        <v>132</v>
      </c>
      <c r="J305" s="152" t="s">
        <v>132</v>
      </c>
      <c r="K305" s="59">
        <v>0</v>
      </c>
      <c r="L305" s="152"/>
      <c r="M305" s="131"/>
    </row>
    <row r="306" spans="1:13">
      <c r="A306" s="63"/>
      <c r="B306" s="64"/>
      <c r="C306" s="65" t="s">
        <v>45</v>
      </c>
      <c r="D306" s="66">
        <f>SUM(D304:D305)</f>
        <v>200000000</v>
      </c>
      <c r="E306" s="66">
        <f>SUM(E304:E305)</f>
        <v>0</v>
      </c>
      <c r="F306" s="202">
        <f>SUM(F304:F305)</f>
        <v>0</v>
      </c>
      <c r="G306" s="122" t="s">
        <v>132</v>
      </c>
      <c r="H306" s="66" t="s">
        <v>132</v>
      </c>
      <c r="I306" s="122" t="s">
        <v>132</v>
      </c>
      <c r="J306" s="66" t="s">
        <v>132</v>
      </c>
      <c r="K306" s="66">
        <f>SUM(K304:K305)</f>
        <v>0</v>
      </c>
      <c r="L306" s="66">
        <f t="shared" ref="L306" si="95">SUM(L304:L305)</f>
        <v>0</v>
      </c>
      <c r="M306" s="66"/>
    </row>
    <row r="307" spans="1:13">
      <c r="A307" s="44">
        <v>21</v>
      </c>
      <c r="B307" s="81" t="s">
        <v>65</v>
      </c>
      <c r="C307" s="82"/>
      <c r="D307" s="57"/>
      <c r="E307" s="119"/>
      <c r="F307" s="209"/>
      <c r="G307" s="119"/>
      <c r="H307" s="152"/>
      <c r="I307" s="119"/>
      <c r="J307" s="152"/>
      <c r="K307" s="152"/>
      <c r="L307" s="152"/>
      <c r="M307" s="131"/>
    </row>
    <row r="308" spans="1:13">
      <c r="A308" s="44"/>
      <c r="B308" s="47" t="s">
        <v>46</v>
      </c>
      <c r="C308" s="48" t="s">
        <v>66</v>
      </c>
      <c r="D308" s="60">
        <v>20000000</v>
      </c>
      <c r="E308" s="125">
        <v>0</v>
      </c>
      <c r="F308" s="211">
        <v>0</v>
      </c>
      <c r="G308" s="199" t="s">
        <v>132</v>
      </c>
      <c r="H308" s="59" t="s">
        <v>132</v>
      </c>
      <c r="I308" s="197" t="s">
        <v>132</v>
      </c>
      <c r="J308" s="59" t="s">
        <v>132</v>
      </c>
      <c r="K308" s="59">
        <v>0</v>
      </c>
      <c r="L308" s="59">
        <v>0</v>
      </c>
      <c r="M308" s="132"/>
    </row>
    <row r="309" spans="1:13">
      <c r="A309" s="63"/>
      <c r="B309" s="83"/>
      <c r="C309" s="65" t="s">
        <v>45</v>
      </c>
      <c r="D309" s="66">
        <f>SUM(D308:D308)</f>
        <v>20000000</v>
      </c>
      <c r="E309" s="66">
        <f t="shared" ref="E309:F309" si="96">SUM(E306:E308)</f>
        <v>0</v>
      </c>
      <c r="F309" s="202">
        <f t="shared" si="96"/>
        <v>0</v>
      </c>
      <c r="G309" s="122" t="s">
        <v>132</v>
      </c>
      <c r="H309" s="66" t="s">
        <v>132</v>
      </c>
      <c r="I309" s="122" t="s">
        <v>132</v>
      </c>
      <c r="J309" s="66" t="s">
        <v>132</v>
      </c>
      <c r="K309" s="66">
        <f>SUM(K308)</f>
        <v>0</v>
      </c>
      <c r="L309" s="66">
        <f t="shared" ref="L309" si="97">SUM(L306:L308)</f>
        <v>0</v>
      </c>
      <c r="M309" s="66"/>
    </row>
    <row r="310" spans="1:13" ht="15" customHeight="1">
      <c r="A310" s="84">
        <v>18</v>
      </c>
      <c r="B310" s="826" t="s">
        <v>96</v>
      </c>
      <c r="C310" s="827"/>
      <c r="D310" s="57"/>
      <c r="E310" s="119"/>
      <c r="F310" s="209"/>
      <c r="G310" s="119"/>
      <c r="H310" s="152"/>
      <c r="I310" s="119"/>
      <c r="J310" s="152"/>
      <c r="K310" s="152"/>
      <c r="L310" s="152"/>
      <c r="M310" s="131"/>
    </row>
    <row r="311" spans="1:13" ht="15" customHeight="1">
      <c r="A311" s="84"/>
      <c r="B311" s="830" t="s">
        <v>95</v>
      </c>
      <c r="C311" s="831"/>
      <c r="D311" s="57"/>
      <c r="E311" s="124"/>
      <c r="F311" s="209"/>
      <c r="G311" s="119"/>
      <c r="H311" s="152"/>
      <c r="I311" s="119"/>
      <c r="J311" s="152"/>
      <c r="K311" s="152"/>
      <c r="L311" s="152"/>
      <c r="M311" s="131"/>
    </row>
    <row r="312" spans="1:13">
      <c r="A312" s="44"/>
      <c r="B312" s="47" t="s">
        <v>26</v>
      </c>
      <c r="C312" s="48" t="s">
        <v>67</v>
      </c>
      <c r="D312" s="60">
        <v>20000000</v>
      </c>
      <c r="E312" s="125">
        <v>0</v>
      </c>
      <c r="F312" s="211">
        <v>0</v>
      </c>
      <c r="G312" s="199" t="s">
        <v>132</v>
      </c>
      <c r="H312" s="59" t="s">
        <v>132</v>
      </c>
      <c r="I312" s="119" t="str">
        <f t="shared" ref="I312" si="98">G312</f>
        <v>-</v>
      </c>
      <c r="J312" s="59" t="s">
        <v>132</v>
      </c>
      <c r="K312" s="59">
        <v>0</v>
      </c>
      <c r="L312" s="59">
        <v>0</v>
      </c>
      <c r="M312" s="132"/>
    </row>
    <row r="313" spans="1:13">
      <c r="A313" s="44"/>
      <c r="B313" s="47" t="s">
        <v>29</v>
      </c>
      <c r="C313" s="204" t="s">
        <v>220</v>
      </c>
      <c r="D313" s="179">
        <v>7000000</v>
      </c>
      <c r="E313" s="180">
        <v>0</v>
      </c>
      <c r="F313" s="181">
        <v>0</v>
      </c>
      <c r="G313" s="207" t="s">
        <v>132</v>
      </c>
      <c r="H313" s="148" t="s">
        <v>132</v>
      </c>
      <c r="I313" s="119" t="s">
        <v>132</v>
      </c>
      <c r="J313" s="148" t="s">
        <v>132</v>
      </c>
      <c r="K313" s="59">
        <v>0</v>
      </c>
      <c r="L313" s="148">
        <v>0</v>
      </c>
      <c r="M313" s="165"/>
    </row>
    <row r="314" spans="1:13">
      <c r="A314" s="44"/>
      <c r="B314" s="47"/>
      <c r="C314" s="48" t="s">
        <v>117</v>
      </c>
      <c r="D314" s="60"/>
      <c r="E314" s="125"/>
      <c r="F314" s="135"/>
      <c r="G314" s="199"/>
      <c r="H314" s="59"/>
      <c r="I314" s="197"/>
      <c r="J314" s="59"/>
      <c r="K314" s="59"/>
      <c r="L314" s="59"/>
      <c r="M314" s="132"/>
    </row>
    <row r="315" spans="1:13">
      <c r="A315" s="63"/>
      <c r="B315" s="71"/>
      <c r="C315" s="65" t="s">
        <v>45</v>
      </c>
      <c r="D315" s="66">
        <f>SUM(D312:D314)</f>
        <v>27000000</v>
      </c>
      <c r="E315" s="66">
        <f t="shared" ref="E315" si="99">SUM(E312:E312)</f>
        <v>0</v>
      </c>
      <c r="F315" s="66">
        <f>SUM(F312:F312)</f>
        <v>0</v>
      </c>
      <c r="G315" s="122" t="s">
        <v>132</v>
      </c>
      <c r="H315" s="66" t="s">
        <v>132</v>
      </c>
      <c r="I315" s="122" t="s">
        <v>132</v>
      </c>
      <c r="J315" s="66" t="s">
        <v>132</v>
      </c>
      <c r="K315" s="66">
        <f>SUM(K312:K314)</f>
        <v>0</v>
      </c>
      <c r="L315" s="66">
        <f t="shared" ref="L315" si="100">SUM(L312:L312)</f>
        <v>0</v>
      </c>
      <c r="M315" s="66"/>
    </row>
    <row r="316" spans="1:13" ht="15" customHeight="1">
      <c r="A316" s="84">
        <v>17</v>
      </c>
      <c r="B316" s="826" t="s">
        <v>130</v>
      </c>
      <c r="C316" s="827"/>
      <c r="D316" s="57"/>
      <c r="E316" s="119"/>
      <c r="F316" s="131"/>
      <c r="G316" s="119"/>
      <c r="H316" s="152"/>
      <c r="I316" s="119"/>
      <c r="J316" s="152"/>
      <c r="K316" s="152"/>
      <c r="L316" s="152"/>
      <c r="M316" s="131"/>
    </row>
    <row r="317" spans="1:13">
      <c r="A317" s="44"/>
      <c r="B317" s="47" t="s">
        <v>53</v>
      </c>
      <c r="C317" s="48" t="s">
        <v>131</v>
      </c>
      <c r="D317" s="60">
        <v>24000000</v>
      </c>
      <c r="E317" s="125">
        <v>0</v>
      </c>
      <c r="F317" s="135">
        <v>0</v>
      </c>
      <c r="G317" s="197" t="s">
        <v>132</v>
      </c>
      <c r="H317" s="59" t="s">
        <v>132</v>
      </c>
      <c r="I317" s="197" t="s">
        <v>132</v>
      </c>
      <c r="J317" s="59" t="s">
        <v>132</v>
      </c>
      <c r="K317" s="59">
        <v>0</v>
      </c>
      <c r="L317" s="59">
        <v>0</v>
      </c>
      <c r="M317" s="132"/>
    </row>
    <row r="318" spans="1:13">
      <c r="A318" s="63"/>
      <c r="B318" s="64"/>
      <c r="C318" s="65" t="s">
        <v>45</v>
      </c>
      <c r="D318" s="66">
        <f>SUM(D317:D317)</f>
        <v>24000000</v>
      </c>
      <c r="E318" s="66">
        <f t="shared" ref="E318:F318" si="101">SUM(E316:E317)</f>
        <v>0</v>
      </c>
      <c r="F318" s="66">
        <f t="shared" si="101"/>
        <v>0</v>
      </c>
      <c r="G318" s="122" t="s">
        <v>132</v>
      </c>
      <c r="H318" s="66" t="s">
        <v>132</v>
      </c>
      <c r="I318" s="122" t="s">
        <v>132</v>
      </c>
      <c r="J318" s="66" t="s">
        <v>132</v>
      </c>
      <c r="K318" s="66">
        <f t="shared" ref="K318:L318" si="102">SUM(K316:K317)</f>
        <v>0</v>
      </c>
      <c r="L318" s="66">
        <f t="shared" si="102"/>
        <v>0</v>
      </c>
      <c r="M318" s="66"/>
    </row>
    <row r="319" spans="1:13">
      <c r="A319" s="44">
        <v>15</v>
      </c>
      <c r="B319" s="309" t="s">
        <v>68</v>
      </c>
      <c r="C319" s="86"/>
      <c r="D319" s="57"/>
      <c r="E319" s="119"/>
      <c r="F319" s="131"/>
      <c r="G319" s="119"/>
      <c r="H319" s="152"/>
      <c r="I319" s="119"/>
      <c r="J319" s="152"/>
      <c r="K319" s="152"/>
      <c r="L319" s="152"/>
      <c r="M319" s="131"/>
    </row>
    <row r="320" spans="1:13" ht="26.25">
      <c r="A320" s="44"/>
      <c r="B320" s="49" t="s">
        <v>80</v>
      </c>
      <c r="C320" s="50" t="s">
        <v>118</v>
      </c>
      <c r="D320" s="62">
        <v>10000000</v>
      </c>
      <c r="E320" s="125">
        <v>0</v>
      </c>
      <c r="F320" s="135">
        <v>0</v>
      </c>
      <c r="G320" s="119" t="s">
        <v>132</v>
      </c>
      <c r="H320" s="59" t="s">
        <v>132</v>
      </c>
      <c r="I320" s="119" t="s">
        <v>132</v>
      </c>
      <c r="J320" s="59" t="s">
        <v>132</v>
      </c>
      <c r="K320" s="59">
        <v>0</v>
      </c>
      <c r="L320" s="59">
        <v>0</v>
      </c>
      <c r="M320" s="132"/>
    </row>
    <row r="321" spans="1:13">
      <c r="A321" s="44"/>
      <c r="B321" s="49" t="s">
        <v>69</v>
      </c>
      <c r="C321" s="50" t="s">
        <v>70</v>
      </c>
      <c r="D321" s="62">
        <v>60000000</v>
      </c>
      <c r="E321" s="125">
        <v>0</v>
      </c>
      <c r="F321" s="135">
        <v>0</v>
      </c>
      <c r="G321" s="197" t="s">
        <v>132</v>
      </c>
      <c r="H321" s="59" t="s">
        <v>132</v>
      </c>
      <c r="I321" s="119" t="s">
        <v>132</v>
      </c>
      <c r="J321" s="59" t="s">
        <v>132</v>
      </c>
      <c r="K321" s="59">
        <v>0</v>
      </c>
      <c r="L321" s="59">
        <v>0</v>
      </c>
      <c r="M321" s="132"/>
    </row>
    <row r="322" spans="1:13">
      <c r="A322" s="63"/>
      <c r="B322" s="64"/>
      <c r="C322" s="65" t="s">
        <v>45</v>
      </c>
      <c r="D322" s="66">
        <f>SUM(D320:D321)</f>
        <v>70000000</v>
      </c>
      <c r="E322" s="66">
        <f>SUM(E318:E321)</f>
        <v>0</v>
      </c>
      <c r="F322" s="66">
        <f>SUM(F318:F321)</f>
        <v>0</v>
      </c>
      <c r="G322" s="122" t="s">
        <v>132</v>
      </c>
      <c r="H322" s="66" t="s">
        <v>132</v>
      </c>
      <c r="I322" s="122" t="s">
        <v>132</v>
      </c>
      <c r="J322" s="66" t="s">
        <v>132</v>
      </c>
      <c r="K322" s="66">
        <f>SUM(K320:K321)</f>
        <v>0</v>
      </c>
      <c r="L322" s="66">
        <f>SUM(L318:L321)</f>
        <v>0</v>
      </c>
      <c r="M322" s="66"/>
    </row>
    <row r="323" spans="1:13">
      <c r="A323" s="44">
        <v>16</v>
      </c>
      <c r="B323" s="81" t="s">
        <v>71</v>
      </c>
      <c r="C323" s="82"/>
      <c r="D323" s="57"/>
      <c r="E323" s="119"/>
      <c r="F323" s="131"/>
      <c r="G323" s="119"/>
      <c r="H323" s="152"/>
      <c r="I323" s="119"/>
      <c r="J323" s="152"/>
      <c r="K323" s="152"/>
      <c r="L323" s="152"/>
      <c r="M323" s="131"/>
    </row>
    <row r="324" spans="1:13">
      <c r="A324" s="44"/>
      <c r="B324" s="47" t="s">
        <v>72</v>
      </c>
      <c r="C324" s="48" t="s">
        <v>73</v>
      </c>
      <c r="D324" s="60">
        <v>5000000</v>
      </c>
      <c r="E324" s="120">
        <v>0</v>
      </c>
      <c r="F324" s="132">
        <v>0</v>
      </c>
      <c r="G324" s="120">
        <v>5000000</v>
      </c>
      <c r="H324" s="91">
        <f>G324/D324*100</f>
        <v>100</v>
      </c>
      <c r="I324" s="313">
        <f t="shared" ref="I324:I325" si="103">G324</f>
        <v>5000000</v>
      </c>
      <c r="J324" s="157">
        <f t="shared" ref="J324:J325" si="104">I324/D324*100</f>
        <v>100</v>
      </c>
      <c r="K324" s="331">
        <f>3/12</f>
        <v>0.25</v>
      </c>
      <c r="L324" s="152">
        <f>J324</f>
        <v>100</v>
      </c>
      <c r="M324" s="132"/>
    </row>
    <row r="325" spans="1:13">
      <c r="A325" s="63"/>
      <c r="B325" s="83"/>
      <c r="C325" s="65" t="s">
        <v>45</v>
      </c>
      <c r="D325" s="66">
        <f>SUM(D324:D324)</f>
        <v>5000000</v>
      </c>
      <c r="E325" s="122">
        <f>SUM(E324:E324)</f>
        <v>0</v>
      </c>
      <c r="F325" s="66">
        <f>SUM(F324:F324)</f>
        <v>0</v>
      </c>
      <c r="G325" s="195">
        <f>G324</f>
        <v>5000000</v>
      </c>
      <c r="H325" s="80">
        <f>G325/D325*100</f>
        <v>100</v>
      </c>
      <c r="I325" s="192">
        <f t="shared" si="103"/>
        <v>5000000</v>
      </c>
      <c r="J325" s="152">
        <f t="shared" si="104"/>
        <v>100</v>
      </c>
      <c r="K325" s="333">
        <f>SUM(K324)</f>
        <v>0.25</v>
      </c>
      <c r="L325" s="66">
        <f>SUM(L324)</f>
        <v>100</v>
      </c>
      <c r="M325" s="66"/>
    </row>
    <row r="326" spans="1:13" ht="15" customHeight="1">
      <c r="A326" s="87" t="s">
        <v>69</v>
      </c>
      <c r="B326" s="826" t="s">
        <v>89</v>
      </c>
      <c r="C326" s="827"/>
      <c r="D326" s="70"/>
      <c r="E326" s="123"/>
      <c r="F326" s="134"/>
      <c r="G326" s="123"/>
      <c r="H326" s="156"/>
      <c r="I326" s="123"/>
      <c r="J326" s="156"/>
      <c r="K326" s="156"/>
      <c r="L326" s="156"/>
      <c r="M326" s="134"/>
    </row>
    <row r="327" spans="1:13" ht="15" customHeight="1">
      <c r="A327" s="88"/>
      <c r="B327" s="830" t="s">
        <v>88</v>
      </c>
      <c r="C327" s="831"/>
      <c r="D327" s="57"/>
      <c r="E327" s="119"/>
      <c r="F327" s="131"/>
      <c r="G327" s="119"/>
      <c r="H327" s="152"/>
      <c r="I327" s="119"/>
      <c r="J327" s="152"/>
      <c r="K327" s="152"/>
      <c r="L327" s="152"/>
      <c r="M327" s="131"/>
    </row>
    <row r="328" spans="1:13">
      <c r="A328" s="89"/>
      <c r="B328" s="61" t="s">
        <v>26</v>
      </c>
      <c r="C328" s="90" t="s">
        <v>74</v>
      </c>
      <c r="D328" s="91">
        <v>15000000</v>
      </c>
      <c r="E328" s="126">
        <v>0</v>
      </c>
      <c r="F328" s="136">
        <v>0</v>
      </c>
      <c r="G328" s="126">
        <v>15000000</v>
      </c>
      <c r="H328" s="91">
        <f>G328/D328*100</f>
        <v>100</v>
      </c>
      <c r="I328" s="313">
        <f t="shared" ref="I328:I329" si="105">G328</f>
        <v>15000000</v>
      </c>
      <c r="J328" s="157">
        <f t="shared" ref="J328:J329" si="106">I328/D328*100</f>
        <v>100</v>
      </c>
      <c r="K328" s="331">
        <f>3/12</f>
        <v>0.25</v>
      </c>
      <c r="L328" s="152">
        <f>J328</f>
        <v>100</v>
      </c>
      <c r="M328" s="136"/>
    </row>
    <row r="329" spans="1:13">
      <c r="A329" s="63"/>
      <c r="B329" s="83"/>
      <c r="C329" s="65" t="s">
        <v>45</v>
      </c>
      <c r="D329" s="66">
        <f>SUM(D328:D328)</f>
        <v>15000000</v>
      </c>
      <c r="E329" s="122">
        <f>SUM(E328:E328)</f>
        <v>0</v>
      </c>
      <c r="F329" s="66">
        <f>SUM(F328:F328)</f>
        <v>0</v>
      </c>
      <c r="G329" s="126">
        <v>15000000</v>
      </c>
      <c r="H329" s="288">
        <f>G329/D329*100</f>
        <v>100</v>
      </c>
      <c r="I329" s="315">
        <f t="shared" si="105"/>
        <v>15000000</v>
      </c>
      <c r="J329" s="212">
        <f t="shared" si="106"/>
        <v>100</v>
      </c>
      <c r="K329" s="333">
        <f>SUM(K328)</f>
        <v>0.25</v>
      </c>
      <c r="L329" s="66">
        <f>SUM(L328)</f>
        <v>100</v>
      </c>
      <c r="M329" s="66"/>
    </row>
    <row r="330" spans="1:13" ht="15" customHeight="1">
      <c r="A330" s="88"/>
      <c r="B330" s="826" t="s">
        <v>94</v>
      </c>
      <c r="C330" s="827"/>
      <c r="D330" s="57"/>
      <c r="E330" s="119"/>
      <c r="F330" s="131"/>
      <c r="G330" s="119"/>
      <c r="H330" s="152"/>
      <c r="I330" s="119"/>
      <c r="J330" s="152"/>
      <c r="K330" s="152"/>
      <c r="L330" s="152"/>
      <c r="M330" s="131"/>
    </row>
    <row r="331" spans="1:13">
      <c r="A331" s="84"/>
      <c r="B331" s="92" t="s">
        <v>26</v>
      </c>
      <c r="C331" s="48" t="s">
        <v>134</v>
      </c>
      <c r="D331" s="60">
        <v>4000000</v>
      </c>
      <c r="E331" s="125">
        <v>0</v>
      </c>
      <c r="F331" s="135">
        <v>0</v>
      </c>
      <c r="G331" s="197" t="s">
        <v>132</v>
      </c>
      <c r="H331" s="59" t="s">
        <v>132</v>
      </c>
      <c r="I331" s="197" t="s">
        <v>132</v>
      </c>
      <c r="J331" s="59" t="s">
        <v>132</v>
      </c>
      <c r="K331" s="59">
        <v>0</v>
      </c>
      <c r="L331" s="59">
        <v>0</v>
      </c>
      <c r="M331" s="132"/>
    </row>
    <row r="332" spans="1:13">
      <c r="A332" s="93"/>
      <c r="B332" s="64"/>
      <c r="C332" s="65" t="s">
        <v>45</v>
      </c>
      <c r="D332" s="66">
        <f>SUM(D331:D331)</f>
        <v>4000000</v>
      </c>
      <c r="E332" s="66">
        <f t="shared" ref="E332:F332" si="107">SUM(E326:E331)</f>
        <v>0</v>
      </c>
      <c r="F332" s="66">
        <f t="shared" si="107"/>
        <v>0</v>
      </c>
      <c r="G332" s="122" t="s">
        <v>132</v>
      </c>
      <c r="H332" s="66" t="s">
        <v>132</v>
      </c>
      <c r="I332" s="122" t="s">
        <v>132</v>
      </c>
      <c r="J332" s="66" t="s">
        <v>132</v>
      </c>
      <c r="K332" s="66">
        <f>SUM(K331)</f>
        <v>0</v>
      </c>
      <c r="L332" s="66">
        <v>0</v>
      </c>
      <c r="M332" s="66"/>
    </row>
    <row r="333" spans="1:13" ht="15" customHeight="1">
      <c r="A333" s="84">
        <v>16</v>
      </c>
      <c r="B333" s="826" t="s">
        <v>75</v>
      </c>
      <c r="C333" s="827"/>
      <c r="D333" s="57"/>
      <c r="E333" s="119"/>
      <c r="F333" s="131"/>
      <c r="G333" s="119"/>
      <c r="H333" s="156"/>
      <c r="I333" s="123"/>
      <c r="J333" s="152"/>
      <c r="K333" s="152"/>
      <c r="L333" s="152"/>
      <c r="M333" s="131"/>
    </row>
    <row r="334" spans="1:13">
      <c r="A334" s="84"/>
      <c r="B334" s="94" t="s">
        <v>72</v>
      </c>
      <c r="C334" s="95" t="s">
        <v>103</v>
      </c>
      <c r="D334" s="80">
        <v>10000000</v>
      </c>
      <c r="E334" s="124"/>
      <c r="F334" s="131"/>
      <c r="G334" s="218">
        <v>3000000</v>
      </c>
      <c r="H334" s="312">
        <f>G334/D334*100</f>
        <v>30</v>
      </c>
      <c r="I334" s="313">
        <f t="shared" ref="I334" si="108">G334</f>
        <v>3000000</v>
      </c>
      <c r="J334" s="314">
        <f t="shared" ref="J334" si="109">I334/D334*100</f>
        <v>30</v>
      </c>
      <c r="K334" s="331">
        <f>3/12</f>
        <v>0.25</v>
      </c>
      <c r="L334" s="311">
        <f>J334</f>
        <v>30</v>
      </c>
      <c r="M334" s="131"/>
    </row>
    <row r="335" spans="1:13">
      <c r="A335" s="93"/>
      <c r="B335" s="83"/>
      <c r="C335" s="65" t="s">
        <v>45</v>
      </c>
      <c r="D335" s="66">
        <f>SUM(D334)</f>
        <v>10000000</v>
      </c>
      <c r="E335" s="66">
        <f t="shared" ref="E335:F335" si="110">SUM(E333:E334)</f>
        <v>0</v>
      </c>
      <c r="F335" s="66">
        <f t="shared" si="110"/>
        <v>0</v>
      </c>
      <c r="G335" s="122">
        <f t="shared" ref="G335:K335" si="111">SUM(G334)</f>
        <v>3000000</v>
      </c>
      <c r="H335" s="302">
        <f t="shared" si="111"/>
        <v>30</v>
      </c>
      <c r="I335" s="122">
        <f t="shared" si="111"/>
        <v>3000000</v>
      </c>
      <c r="J335" s="302">
        <f t="shared" si="111"/>
        <v>30</v>
      </c>
      <c r="K335" s="333">
        <f t="shared" si="111"/>
        <v>0.25</v>
      </c>
      <c r="L335" s="302">
        <f>SUM(L334)</f>
        <v>30</v>
      </c>
      <c r="M335" s="66"/>
    </row>
    <row r="336" spans="1:13" ht="15" customHeight="1">
      <c r="A336" s="84">
        <v>22</v>
      </c>
      <c r="B336" s="826" t="s">
        <v>87</v>
      </c>
      <c r="C336" s="827"/>
      <c r="D336" s="57"/>
      <c r="E336" s="119"/>
      <c r="F336" s="131"/>
      <c r="G336" s="119"/>
      <c r="H336" s="152"/>
      <c r="I336" s="119"/>
      <c r="J336" s="152"/>
      <c r="K336" s="152"/>
      <c r="L336" s="152"/>
      <c r="M336" s="131"/>
    </row>
    <row r="337" spans="1:14" ht="25.5">
      <c r="A337" s="84"/>
      <c r="B337" s="47" t="s">
        <v>26</v>
      </c>
      <c r="C337" s="95" t="s">
        <v>76</v>
      </c>
      <c r="D337" s="60">
        <v>3500000</v>
      </c>
      <c r="E337" s="125">
        <v>0</v>
      </c>
      <c r="F337" s="135">
        <v>0</v>
      </c>
      <c r="G337" s="197">
        <v>875000</v>
      </c>
      <c r="H337" s="312">
        <f>G337/D337*100</f>
        <v>25</v>
      </c>
      <c r="I337" s="197">
        <f>G337</f>
        <v>875000</v>
      </c>
      <c r="J337" s="314">
        <f t="shared" ref="J337:J338" si="112">I337/D337*100</f>
        <v>25</v>
      </c>
      <c r="K337" s="331">
        <f>3/12</f>
        <v>0.25</v>
      </c>
      <c r="L337" s="311">
        <f>J337</f>
        <v>25</v>
      </c>
      <c r="M337" s="132"/>
    </row>
    <row r="338" spans="1:14">
      <c r="A338" s="63"/>
      <c r="B338" s="83"/>
      <c r="C338" s="65" t="s">
        <v>45</v>
      </c>
      <c r="D338" s="66">
        <f>SUM(D337:D337)</f>
        <v>3500000</v>
      </c>
      <c r="E338" s="66">
        <f t="shared" ref="E338:F338" si="113">SUM(E335:E337)</f>
        <v>0</v>
      </c>
      <c r="F338" s="66">
        <f t="shared" si="113"/>
        <v>0</v>
      </c>
      <c r="G338" s="122">
        <f>SUM(G337)</f>
        <v>875000</v>
      </c>
      <c r="H338" s="312">
        <f>G338/D338*100</f>
        <v>25</v>
      </c>
      <c r="I338" s="122">
        <f>SUM(I337)</f>
        <v>875000</v>
      </c>
      <c r="J338" s="314">
        <f t="shared" si="112"/>
        <v>25</v>
      </c>
      <c r="K338" s="333">
        <f>SUM(K337)</f>
        <v>0.25</v>
      </c>
      <c r="L338" s="302">
        <f>SUM(L337)</f>
        <v>25</v>
      </c>
      <c r="M338" s="66"/>
    </row>
    <row r="339" spans="1:14" ht="15" customHeight="1">
      <c r="A339" s="44">
        <v>17</v>
      </c>
      <c r="B339" s="822" t="s">
        <v>56</v>
      </c>
      <c r="C339" s="823"/>
      <c r="D339" s="57"/>
      <c r="E339" s="119"/>
      <c r="F339" s="131"/>
      <c r="G339" s="119"/>
      <c r="H339" s="152"/>
      <c r="I339" s="119"/>
      <c r="J339" s="152"/>
      <c r="K339" s="152"/>
      <c r="L339" s="152"/>
      <c r="M339" s="131"/>
    </row>
    <row r="340" spans="1:14" ht="15" customHeight="1">
      <c r="A340" s="44"/>
      <c r="B340" s="47">
        <v>19</v>
      </c>
      <c r="C340" s="824" t="s">
        <v>91</v>
      </c>
      <c r="E340" s="120"/>
      <c r="F340" s="132"/>
      <c r="G340" s="119"/>
      <c r="H340" s="59"/>
      <c r="I340" s="119"/>
      <c r="J340" s="59"/>
      <c r="K340" s="59"/>
      <c r="L340" s="59"/>
      <c r="M340" s="132"/>
    </row>
    <row r="341" spans="1:14">
      <c r="A341" s="44"/>
      <c r="B341" s="163"/>
      <c r="C341" s="825"/>
      <c r="D341" s="60">
        <v>25000000</v>
      </c>
      <c r="E341" s="164">
        <v>0</v>
      </c>
      <c r="F341" s="165">
        <v>0</v>
      </c>
      <c r="G341" s="330">
        <f>2400000+1600000+ 90000</f>
        <v>4090000</v>
      </c>
      <c r="H341" s="312">
        <f>G341/D341*100</f>
        <v>16.36</v>
      </c>
      <c r="I341" s="197">
        <f>G341</f>
        <v>4090000</v>
      </c>
      <c r="J341" s="314">
        <f t="shared" ref="J341" si="114">I341/D341*100</f>
        <v>16.36</v>
      </c>
      <c r="K341" s="331">
        <f>3/12</f>
        <v>0.25</v>
      </c>
      <c r="L341" s="314">
        <f>J341</f>
        <v>16.36</v>
      </c>
      <c r="M341" s="165"/>
      <c r="N341" s="161">
        <v>1890000</v>
      </c>
    </row>
    <row r="342" spans="1:14">
      <c r="A342" s="63"/>
      <c r="B342" s="96"/>
      <c r="C342" s="65" t="s">
        <v>45</v>
      </c>
      <c r="D342" s="66">
        <f>SUM(D341:D341)</f>
        <v>25000000</v>
      </c>
      <c r="E342" s="122">
        <f>SUM(E340:E340)</f>
        <v>0</v>
      </c>
      <c r="F342" s="137">
        <f>SUM(F340:F340)</f>
        <v>0</v>
      </c>
      <c r="G342" s="122">
        <f t="shared" ref="G342:L342" si="115">SUM(G341)</f>
        <v>4090000</v>
      </c>
      <c r="H342" s="302">
        <f t="shared" si="115"/>
        <v>16.36</v>
      </c>
      <c r="I342" s="122">
        <f t="shared" si="115"/>
        <v>4090000</v>
      </c>
      <c r="J342" s="324">
        <f t="shared" si="115"/>
        <v>16.36</v>
      </c>
      <c r="K342" s="333">
        <f t="shared" si="115"/>
        <v>0.25</v>
      </c>
      <c r="L342" s="317">
        <f t="shared" si="115"/>
        <v>16.36</v>
      </c>
      <c r="M342" s="137"/>
      <c r="N342" s="161">
        <f>G341+N341</f>
        <v>5980000</v>
      </c>
    </row>
    <row r="343" spans="1:14" ht="15" customHeight="1">
      <c r="A343" s="44">
        <v>19</v>
      </c>
      <c r="B343" s="826" t="s">
        <v>57</v>
      </c>
      <c r="C343" s="827"/>
      <c r="D343" s="57"/>
      <c r="E343" s="119"/>
      <c r="F343" s="131"/>
      <c r="G343" s="119"/>
      <c r="H343" s="152"/>
      <c r="I343" s="119"/>
      <c r="J343" s="152"/>
      <c r="K343" s="152"/>
      <c r="L343" s="152"/>
      <c r="M343" s="131"/>
    </row>
    <row r="344" spans="1:14">
      <c r="A344" s="44"/>
      <c r="B344" s="47" t="s">
        <v>26</v>
      </c>
      <c r="C344" s="48" t="s">
        <v>58</v>
      </c>
      <c r="D344" s="60">
        <v>15000000</v>
      </c>
      <c r="E344" s="120">
        <v>0</v>
      </c>
      <c r="F344" s="132">
        <v>0</v>
      </c>
      <c r="G344" s="197">
        <v>15000000</v>
      </c>
      <c r="H344" s="59">
        <f>G344/D344*100</f>
        <v>100</v>
      </c>
      <c r="I344" s="197">
        <v>15000000</v>
      </c>
      <c r="J344" s="59">
        <f>I344/D344*100</f>
        <v>100</v>
      </c>
      <c r="K344" s="331">
        <f>3/12</f>
        <v>0.25</v>
      </c>
      <c r="L344" s="152">
        <f>J344</f>
        <v>100</v>
      </c>
      <c r="M344" s="132"/>
    </row>
    <row r="345" spans="1:14">
      <c r="A345" s="183"/>
      <c r="B345" s="64"/>
      <c r="C345" s="65" t="s">
        <v>45</v>
      </c>
      <c r="D345" s="66">
        <f>SUM(D344)</f>
        <v>15000000</v>
      </c>
      <c r="E345" s="122">
        <f>SUM(E342:E342)</f>
        <v>0</v>
      </c>
      <c r="F345" s="66">
        <f>SUM(F342:F342)</f>
        <v>0</v>
      </c>
      <c r="G345" s="122">
        <f>G344</f>
        <v>15000000</v>
      </c>
      <c r="H345" s="66">
        <f>G345/D345*100</f>
        <v>100</v>
      </c>
      <c r="I345" s="122">
        <f>I344</f>
        <v>15000000</v>
      </c>
      <c r="J345" s="155">
        <f>I345/D345*100</f>
        <v>100</v>
      </c>
      <c r="K345" s="333">
        <f>SUM(K344)</f>
        <v>0.25</v>
      </c>
      <c r="L345" s="66">
        <f>SUM(L344)</f>
        <v>100</v>
      </c>
      <c r="M345" s="66"/>
    </row>
    <row r="346" spans="1:14">
      <c r="A346" s="44">
        <v>32</v>
      </c>
      <c r="B346" s="97" t="s">
        <v>59</v>
      </c>
      <c r="C346" s="98"/>
      <c r="D346" s="57"/>
      <c r="E346" s="119"/>
      <c r="F346" s="131"/>
      <c r="G346" s="119"/>
      <c r="H346" s="152"/>
      <c r="I346" s="119"/>
      <c r="J346" s="152"/>
      <c r="K346" s="152"/>
      <c r="L346" s="152"/>
      <c r="M346" s="131"/>
    </row>
    <row r="347" spans="1:14">
      <c r="A347" s="44"/>
      <c r="B347" s="47" t="s">
        <v>26</v>
      </c>
      <c r="C347" s="58" t="s">
        <v>60</v>
      </c>
      <c r="D347" s="60">
        <v>15000000</v>
      </c>
      <c r="E347" s="120">
        <v>0</v>
      </c>
      <c r="F347" s="132">
        <v>0</v>
      </c>
      <c r="G347" s="197">
        <f>750000+225000</f>
        <v>975000</v>
      </c>
      <c r="H347" s="301">
        <f>G347/D347*100</f>
        <v>6.5</v>
      </c>
      <c r="I347" s="192">
        <f>G347</f>
        <v>975000</v>
      </c>
      <c r="J347" s="301">
        <f t="shared" ref="J347" si="116">I347/D347*100</f>
        <v>6.5</v>
      </c>
      <c r="K347" s="331">
        <f>3/12</f>
        <v>0.25</v>
      </c>
      <c r="L347" s="311">
        <f>J347</f>
        <v>6.5</v>
      </c>
      <c r="M347" s="132"/>
    </row>
    <row r="348" spans="1:14">
      <c r="A348" s="63"/>
      <c r="B348" s="64"/>
      <c r="C348" s="65" t="s">
        <v>45</v>
      </c>
      <c r="D348" s="66">
        <f>SUM(D347)</f>
        <v>15000000</v>
      </c>
      <c r="E348" s="122">
        <f>SUM(E347:E347)</f>
        <v>0</v>
      </c>
      <c r="F348" s="66">
        <f>SUM(F347:F347)</f>
        <v>0</v>
      </c>
      <c r="G348" s="122">
        <f>G347</f>
        <v>975000</v>
      </c>
      <c r="H348" s="302">
        <f>G348/D348*100</f>
        <v>6.5</v>
      </c>
      <c r="I348" s="122">
        <f>I347</f>
        <v>975000</v>
      </c>
      <c r="J348" s="302">
        <f>I348/D348*100</f>
        <v>6.5</v>
      </c>
      <c r="K348" s="333">
        <f>SUM(K347:K347)</f>
        <v>0.25</v>
      </c>
      <c r="L348" s="302">
        <f>SUM(L347:L347)</f>
        <v>6.5</v>
      </c>
      <c r="M348" s="66"/>
    </row>
    <row r="349" spans="1:14">
      <c r="A349" s="99">
        <v>15</v>
      </c>
      <c r="B349" s="100" t="s">
        <v>77</v>
      </c>
      <c r="C349" s="307"/>
      <c r="D349" s="70"/>
      <c r="E349" s="123"/>
      <c r="F349" s="134"/>
      <c r="G349" s="123"/>
      <c r="H349" s="156"/>
      <c r="I349" s="123"/>
      <c r="J349" s="144"/>
      <c r="K349" s="156"/>
      <c r="L349" s="156"/>
      <c r="M349" s="134"/>
    </row>
    <row r="350" spans="1:14">
      <c r="A350" s="84"/>
      <c r="B350" s="101" t="s">
        <v>78</v>
      </c>
      <c r="C350" s="48"/>
      <c r="D350" s="102"/>
      <c r="E350" s="119"/>
      <c r="F350" s="131"/>
      <c r="G350" s="119"/>
      <c r="H350" s="152"/>
      <c r="I350" s="119"/>
      <c r="J350" s="59"/>
      <c r="K350" s="152"/>
      <c r="L350" s="152"/>
      <c r="M350" s="131"/>
    </row>
    <row r="351" spans="1:14">
      <c r="A351" s="44"/>
      <c r="B351" s="47" t="s">
        <v>26</v>
      </c>
      <c r="C351" s="48" t="s">
        <v>79</v>
      </c>
      <c r="D351" s="60">
        <v>5000000</v>
      </c>
      <c r="E351" s="120">
        <v>0</v>
      </c>
      <c r="F351" s="132">
        <v>0</v>
      </c>
      <c r="G351" s="199" t="s">
        <v>132</v>
      </c>
      <c r="H351" s="59" t="s">
        <v>132</v>
      </c>
      <c r="I351" s="199" t="s">
        <v>132</v>
      </c>
      <c r="J351" s="59" t="s">
        <v>132</v>
      </c>
      <c r="K351" s="59">
        <v>0</v>
      </c>
      <c r="L351" s="59">
        <v>0</v>
      </c>
      <c r="M351" s="132"/>
    </row>
    <row r="352" spans="1:14">
      <c r="A352" s="89"/>
      <c r="B352" s="61" t="s">
        <v>80</v>
      </c>
      <c r="C352" s="103" t="s">
        <v>104</v>
      </c>
      <c r="D352" s="91">
        <v>15000000</v>
      </c>
      <c r="E352" s="127">
        <v>0</v>
      </c>
      <c r="F352" s="138">
        <v>0</v>
      </c>
      <c r="G352" s="197" t="s">
        <v>132</v>
      </c>
      <c r="H352" s="157" t="s">
        <v>132</v>
      </c>
      <c r="I352" s="197" t="s">
        <v>132</v>
      </c>
      <c r="J352" s="157" t="s">
        <v>132</v>
      </c>
      <c r="K352" s="59">
        <v>0</v>
      </c>
      <c r="L352" s="157">
        <v>0</v>
      </c>
      <c r="M352" s="136"/>
    </row>
    <row r="353" spans="1:16">
      <c r="A353" s="93"/>
      <c r="B353" s="83"/>
      <c r="C353" s="65" t="s">
        <v>45</v>
      </c>
      <c r="D353" s="66">
        <f>SUM(D351:D352)</f>
        <v>20000000</v>
      </c>
      <c r="E353" s="66">
        <f>SUM(E351:E352)</f>
        <v>0</v>
      </c>
      <c r="F353" s="66">
        <f t="shared" ref="F353" si="117">SUM(F351:F352)</f>
        <v>0</v>
      </c>
      <c r="G353" s="122" t="s">
        <v>132</v>
      </c>
      <c r="H353" s="66" t="s">
        <v>132</v>
      </c>
      <c r="I353" s="122" t="s">
        <v>132</v>
      </c>
      <c r="J353" s="66" t="s">
        <v>132</v>
      </c>
      <c r="K353" s="66">
        <f>SUM(K351:K352)</f>
        <v>0</v>
      </c>
      <c r="L353" s="66">
        <f t="shared" ref="L353" si="118">SUM(L351:L352)</f>
        <v>0</v>
      </c>
      <c r="M353" s="66"/>
    </row>
    <row r="354" spans="1:16">
      <c r="A354" s="84">
        <v>18</v>
      </c>
      <c r="B354" s="75" t="s">
        <v>82</v>
      </c>
      <c r="C354" s="76"/>
      <c r="D354" s="57"/>
      <c r="E354" s="119"/>
      <c r="F354" s="131"/>
      <c r="G354" s="119"/>
      <c r="H354" s="152"/>
      <c r="I354" s="119"/>
      <c r="J354" s="152"/>
      <c r="K354" s="152"/>
      <c r="L354" s="152"/>
      <c r="M354" s="131"/>
    </row>
    <row r="355" spans="1:16" ht="26.25">
      <c r="A355" s="84"/>
      <c r="B355" s="94" t="s">
        <v>29</v>
      </c>
      <c r="C355" s="48" t="s">
        <v>92</v>
      </c>
      <c r="D355" s="60">
        <v>7500000</v>
      </c>
      <c r="E355" s="120">
        <v>0</v>
      </c>
      <c r="F355" s="132">
        <v>0</v>
      </c>
      <c r="G355" s="199">
        <v>7500000</v>
      </c>
      <c r="H355" s="59">
        <f>G355/D355*100</f>
        <v>100</v>
      </c>
      <c r="I355" s="192">
        <f>G355</f>
        <v>7500000</v>
      </c>
      <c r="J355" s="59">
        <f t="shared" ref="J355" si="119">I355/D355*100</f>
        <v>100</v>
      </c>
      <c r="K355" s="331">
        <f>3/12</f>
        <v>0.25</v>
      </c>
      <c r="L355" s="152">
        <f>J355</f>
        <v>100</v>
      </c>
      <c r="M355" s="131"/>
    </row>
    <row r="356" spans="1:16" ht="26.25">
      <c r="A356" s="84"/>
      <c r="B356" s="94" t="s">
        <v>83</v>
      </c>
      <c r="C356" s="48" t="s">
        <v>93</v>
      </c>
      <c r="D356" s="62">
        <v>10000000</v>
      </c>
      <c r="E356" s="121">
        <v>0</v>
      </c>
      <c r="F356" s="133">
        <v>0</v>
      </c>
      <c r="G356" s="200">
        <v>10000000</v>
      </c>
      <c r="H356" s="59">
        <f>G356/D356*100</f>
        <v>100</v>
      </c>
      <c r="I356" s="200">
        <f>G356</f>
        <v>10000000</v>
      </c>
      <c r="J356" s="59">
        <f>I356/D356*100</f>
        <v>100</v>
      </c>
      <c r="K356" s="331">
        <f>3/12</f>
        <v>0.25</v>
      </c>
      <c r="L356" s="152">
        <f>J356</f>
        <v>100</v>
      </c>
      <c r="M356" s="131"/>
      <c r="N356" s="161">
        <v>750000</v>
      </c>
      <c r="O356" s="544">
        <v>38000</v>
      </c>
      <c r="P356" s="544">
        <f>N356-O356</f>
        <v>712000</v>
      </c>
    </row>
    <row r="357" spans="1:16">
      <c r="A357" s="93"/>
      <c r="B357" s="64"/>
      <c r="C357" s="65" t="s">
        <v>45</v>
      </c>
      <c r="D357" s="66">
        <f>SUM(D355:D356)</f>
        <v>17500000</v>
      </c>
      <c r="E357" s="66">
        <f t="shared" ref="E357:F357" si="120">SUM(E355:E356)</f>
        <v>0</v>
      </c>
      <c r="F357" s="66">
        <f t="shared" si="120"/>
        <v>0</v>
      </c>
      <c r="G357" s="122">
        <f>SUM(G355:G356)</f>
        <v>17500000</v>
      </c>
      <c r="H357" s="66">
        <f>G357/D357*100</f>
        <v>100</v>
      </c>
      <c r="I357" s="122">
        <f t="shared" ref="I357" si="121">SUM(I355:I356)</f>
        <v>17500000</v>
      </c>
      <c r="J357" s="66">
        <f>I357/D357*100</f>
        <v>100</v>
      </c>
      <c r="K357" s="333">
        <f>3/12</f>
        <v>0.25</v>
      </c>
      <c r="L357" s="66">
        <f>J357</f>
        <v>100</v>
      </c>
      <c r="M357" s="66"/>
      <c r="N357" s="161">
        <v>750000</v>
      </c>
      <c r="O357" s="544">
        <v>38000</v>
      </c>
      <c r="P357" s="544">
        <f t="shared" ref="P357:P361" si="122">N357-O357</f>
        <v>712000</v>
      </c>
    </row>
    <row r="358" spans="1:16">
      <c r="A358" s="99">
        <v>26</v>
      </c>
      <c r="B358" s="104" t="s">
        <v>105</v>
      </c>
      <c r="C358" s="105"/>
      <c r="D358" s="57"/>
      <c r="E358" s="119"/>
      <c r="F358" s="131"/>
      <c r="G358" s="119"/>
      <c r="H358" s="152"/>
      <c r="I358" s="119"/>
      <c r="J358" s="152"/>
      <c r="K358" s="152"/>
      <c r="L358" s="152"/>
      <c r="M358" s="131"/>
      <c r="N358" s="161">
        <v>650000</v>
      </c>
      <c r="O358" s="544">
        <v>38000</v>
      </c>
      <c r="P358" s="544">
        <f t="shared" si="122"/>
        <v>612000</v>
      </c>
    </row>
    <row r="359" spans="1:16">
      <c r="A359" s="44"/>
      <c r="B359" s="47" t="s">
        <v>84</v>
      </c>
      <c r="C359" s="48" t="s">
        <v>106</v>
      </c>
      <c r="D359" s="60">
        <v>5000000</v>
      </c>
      <c r="E359" s="120" t="s">
        <v>132</v>
      </c>
      <c r="F359" s="132">
        <v>0</v>
      </c>
      <c r="G359" s="120" t="s">
        <v>132</v>
      </c>
      <c r="H359" s="59" t="s">
        <v>132</v>
      </c>
      <c r="I359" s="120">
        <v>0</v>
      </c>
      <c r="J359" s="59" t="s">
        <v>132</v>
      </c>
      <c r="K359" s="157">
        <v>0</v>
      </c>
      <c r="L359" s="59">
        <v>0</v>
      </c>
      <c r="M359" s="132"/>
      <c r="N359" s="161">
        <v>650000</v>
      </c>
      <c r="O359" s="544">
        <v>38000</v>
      </c>
      <c r="P359" s="544">
        <f t="shared" si="122"/>
        <v>612000</v>
      </c>
    </row>
    <row r="360" spans="1:16">
      <c r="A360" s="63"/>
      <c r="B360" s="64"/>
      <c r="C360" s="65" t="s">
        <v>45</v>
      </c>
      <c r="D360" s="66">
        <f>SUM(D359)</f>
        <v>5000000</v>
      </c>
      <c r="E360" s="66">
        <v>0</v>
      </c>
      <c r="F360" s="66">
        <f t="shared" ref="F360" si="123">SUM(F357:F359)</f>
        <v>0</v>
      </c>
      <c r="G360" s="122" t="s">
        <v>132</v>
      </c>
      <c r="H360" s="66" t="s">
        <v>132</v>
      </c>
      <c r="I360" s="122" t="s">
        <v>132</v>
      </c>
      <c r="J360" s="66" t="s">
        <v>132</v>
      </c>
      <c r="K360" s="66">
        <f>SUM(K359)</f>
        <v>0</v>
      </c>
      <c r="L360" s="66">
        <v>0</v>
      </c>
      <c r="M360" s="66"/>
      <c r="N360" s="161">
        <v>550000</v>
      </c>
      <c r="O360" s="544">
        <v>38000</v>
      </c>
      <c r="P360" s="544">
        <f t="shared" si="122"/>
        <v>512000</v>
      </c>
    </row>
    <row r="361" spans="1:16">
      <c r="A361" s="99">
        <v>16</v>
      </c>
      <c r="B361" s="104" t="s">
        <v>123</v>
      </c>
      <c r="C361" s="105"/>
      <c r="D361" s="57"/>
      <c r="E361" s="119"/>
      <c r="F361" s="131"/>
      <c r="G361" s="119"/>
      <c r="H361" s="152"/>
      <c r="I361" s="119"/>
      <c r="J361" s="152"/>
      <c r="K361" s="152"/>
      <c r="L361" s="152"/>
      <c r="M361" s="131"/>
      <c r="N361" s="161">
        <v>550000</v>
      </c>
      <c r="O361" s="544">
        <v>38000</v>
      </c>
      <c r="P361" s="544">
        <f t="shared" si="122"/>
        <v>512000</v>
      </c>
    </row>
    <row r="362" spans="1:16">
      <c r="A362" s="84"/>
      <c r="B362" s="185" t="s">
        <v>124</v>
      </c>
      <c r="C362" s="186"/>
      <c r="D362" s="182"/>
      <c r="E362" s="124"/>
      <c r="F362" s="131"/>
      <c r="G362" s="131"/>
      <c r="H362" s="152"/>
      <c r="I362" s="131"/>
      <c r="J362" s="152"/>
      <c r="K362" s="152"/>
      <c r="L362" s="152"/>
      <c r="M362" s="152"/>
      <c r="N362" s="161">
        <f>SUM(N356:N361)</f>
        <v>3900000</v>
      </c>
      <c r="P362" s="544">
        <v>3</v>
      </c>
    </row>
    <row r="363" spans="1:16" ht="26.25">
      <c r="A363" s="44"/>
      <c r="B363" s="282" t="s">
        <v>46</v>
      </c>
      <c r="C363" s="50" t="s">
        <v>217</v>
      </c>
      <c r="D363" s="60">
        <v>27000000</v>
      </c>
      <c r="E363" s="125">
        <v>0</v>
      </c>
      <c r="F363" s="135">
        <v>0</v>
      </c>
      <c r="G363" s="124">
        <v>0</v>
      </c>
      <c r="H363" s="59" t="s">
        <v>132</v>
      </c>
      <c r="I363" s="124">
        <v>0</v>
      </c>
      <c r="J363" s="59" t="s">
        <v>132</v>
      </c>
      <c r="K363" s="59">
        <v>0</v>
      </c>
      <c r="L363" s="59">
        <v>0</v>
      </c>
      <c r="M363" s="59"/>
      <c r="N363" s="161">
        <v>228000</v>
      </c>
      <c r="O363" s="544">
        <f>N362*P362</f>
        <v>11700000</v>
      </c>
    </row>
    <row r="364" spans="1:16">
      <c r="A364" s="44"/>
      <c r="B364" s="163" t="s">
        <v>111</v>
      </c>
      <c r="C364" s="204" t="s">
        <v>81</v>
      </c>
      <c r="D364" s="205">
        <v>3000000</v>
      </c>
      <c r="E364" s="125">
        <v>0</v>
      </c>
      <c r="F364" s="135">
        <v>0</v>
      </c>
      <c r="G364" s="201" t="s">
        <v>132</v>
      </c>
      <c r="H364" s="187" t="s">
        <v>132</v>
      </c>
      <c r="I364" s="201" t="s">
        <v>132</v>
      </c>
      <c r="J364" s="187" t="s">
        <v>132</v>
      </c>
      <c r="K364" s="212">
        <v>0</v>
      </c>
      <c r="L364" s="187"/>
      <c r="M364" s="188"/>
      <c r="N364" s="161">
        <f>N362-N363</f>
        <v>3672000</v>
      </c>
      <c r="O364" s="544">
        <v>3672000</v>
      </c>
    </row>
    <row r="365" spans="1:16">
      <c r="A365" s="63"/>
      <c r="B365" s="64"/>
      <c r="C365" s="65" t="s">
        <v>45</v>
      </c>
      <c r="D365" s="66">
        <f>SUM(D363:D364)</f>
        <v>30000000</v>
      </c>
      <c r="E365" s="66">
        <f>SUM(E363:E364)</f>
        <v>0</v>
      </c>
      <c r="F365" s="66">
        <f>SUM(F363:F364)</f>
        <v>0</v>
      </c>
      <c r="G365" s="122" t="s">
        <v>132</v>
      </c>
      <c r="H365" s="66" t="s">
        <v>132</v>
      </c>
      <c r="I365" s="122">
        <f>SUM(I363:I364)</f>
        <v>0</v>
      </c>
      <c r="J365" s="66" t="s">
        <v>132</v>
      </c>
      <c r="K365" s="66">
        <f>SUM(K363:K364)</f>
        <v>0</v>
      </c>
      <c r="L365" s="66">
        <f>SUM(L363:L364)</f>
        <v>0</v>
      </c>
      <c r="M365" s="66"/>
      <c r="O365" s="544">
        <f>SUM(O363:O364)</f>
        <v>15372000</v>
      </c>
    </row>
    <row r="366" spans="1:16">
      <c r="A366" s="99">
        <v>17</v>
      </c>
      <c r="B366" s="104" t="s">
        <v>127</v>
      </c>
      <c r="C366" s="105"/>
      <c r="D366" s="57"/>
      <c r="E366" s="119"/>
      <c r="F366" s="131"/>
      <c r="G366" s="119"/>
      <c r="H366" s="152"/>
      <c r="I366" s="119"/>
      <c r="J366" s="152"/>
      <c r="K366" s="152"/>
      <c r="L366" s="152"/>
      <c r="M366" s="131"/>
    </row>
    <row r="367" spans="1:16" ht="26.25">
      <c r="A367" s="44"/>
      <c r="B367" s="47" t="s">
        <v>84</v>
      </c>
      <c r="C367" s="48" t="s">
        <v>128</v>
      </c>
      <c r="D367" s="60">
        <v>10000000</v>
      </c>
      <c r="E367" s="120">
        <v>0</v>
      </c>
      <c r="F367" s="132">
        <v>0</v>
      </c>
      <c r="G367" s="120" t="s">
        <v>132</v>
      </c>
      <c r="H367" s="59" t="s">
        <v>132</v>
      </c>
      <c r="I367" s="120">
        <v>0</v>
      </c>
      <c r="J367" s="59" t="s">
        <v>132</v>
      </c>
      <c r="K367" s="157">
        <v>0</v>
      </c>
      <c r="L367" s="59">
        <v>0</v>
      </c>
      <c r="M367" s="132"/>
    </row>
    <row r="368" spans="1:16">
      <c r="A368" s="63"/>
      <c r="B368" s="64"/>
      <c r="C368" s="65" t="s">
        <v>45</v>
      </c>
      <c r="D368" s="66">
        <f>SUM(D367)</f>
        <v>10000000</v>
      </c>
      <c r="E368" s="66">
        <f t="shared" ref="E368:F368" si="124">SUM(E365:E367)</f>
        <v>0</v>
      </c>
      <c r="F368" s="66">
        <f t="shared" si="124"/>
        <v>0</v>
      </c>
      <c r="G368" s="122" t="s">
        <v>132</v>
      </c>
      <c r="H368" s="66" t="s">
        <v>132</v>
      </c>
      <c r="I368" s="122" t="s">
        <v>132</v>
      </c>
      <c r="J368" s="66" t="s">
        <v>132</v>
      </c>
      <c r="K368" s="66">
        <f>SUM(K367)</f>
        <v>0</v>
      </c>
      <c r="L368" s="66">
        <v>0</v>
      </c>
      <c r="M368" s="66"/>
    </row>
    <row r="369" spans="1:13">
      <c r="A369" s="44">
        <v>18</v>
      </c>
      <c r="B369" s="104" t="s">
        <v>218</v>
      </c>
      <c r="C369" s="105"/>
      <c r="D369" s="70"/>
      <c r="E369" s="70"/>
      <c r="F369" s="70"/>
      <c r="G369" s="287"/>
      <c r="H369" s="70"/>
      <c r="I369" s="287"/>
      <c r="J369" s="70"/>
      <c r="K369" s="70"/>
      <c r="L369" s="70"/>
      <c r="M369" s="70"/>
    </row>
    <row r="370" spans="1:13" ht="25.5">
      <c r="A370" s="44"/>
      <c r="B370" s="283" t="s">
        <v>83</v>
      </c>
      <c r="C370" s="284" t="s">
        <v>219</v>
      </c>
      <c r="D370" s="288">
        <v>50000000</v>
      </c>
      <c r="E370" s="285">
        <v>0</v>
      </c>
      <c r="F370" s="285">
        <v>0</v>
      </c>
      <c r="G370" s="286">
        <v>0</v>
      </c>
      <c r="H370" s="285">
        <v>0</v>
      </c>
      <c r="I370" s="286">
        <v>0</v>
      </c>
      <c r="J370" s="285">
        <v>0</v>
      </c>
      <c r="K370" s="157">
        <v>0</v>
      </c>
      <c r="L370" s="285">
        <v>0</v>
      </c>
      <c r="M370" s="285"/>
    </row>
    <row r="371" spans="1:13">
      <c r="A371" s="63"/>
      <c r="B371" s="64"/>
      <c r="C371" s="65" t="s">
        <v>45</v>
      </c>
      <c r="D371" s="66">
        <f>SUM(D370)</f>
        <v>50000000</v>
      </c>
      <c r="E371" s="66">
        <v>0</v>
      </c>
      <c r="F371" s="66">
        <v>0</v>
      </c>
      <c r="G371" s="122">
        <v>0</v>
      </c>
      <c r="H371" s="66">
        <v>0</v>
      </c>
      <c r="I371" s="122">
        <v>0</v>
      </c>
      <c r="J371" s="66">
        <v>0</v>
      </c>
      <c r="K371" s="66">
        <f>SUM(K370)</f>
        <v>0</v>
      </c>
      <c r="L371" s="66">
        <v>0</v>
      </c>
      <c r="M371" s="66"/>
    </row>
    <row r="372" spans="1:13">
      <c r="A372" s="44">
        <v>24</v>
      </c>
      <c r="B372" s="104" t="s">
        <v>221</v>
      </c>
      <c r="C372" s="105"/>
      <c r="D372" s="70"/>
      <c r="E372" s="70"/>
      <c r="F372" s="70"/>
      <c r="G372" s="287"/>
      <c r="H372" s="70"/>
      <c r="I372" s="287"/>
      <c r="J372" s="70"/>
      <c r="K372" s="70"/>
      <c r="L372" s="70"/>
      <c r="M372" s="70"/>
    </row>
    <row r="373" spans="1:13">
      <c r="A373" s="44"/>
      <c r="B373" s="283" t="s">
        <v>83</v>
      </c>
      <c r="C373" s="284" t="s">
        <v>222</v>
      </c>
      <c r="D373" s="288">
        <v>50000000</v>
      </c>
      <c r="E373" s="285">
        <v>0</v>
      </c>
      <c r="F373" s="285">
        <v>0</v>
      </c>
      <c r="G373" s="286">
        <v>0</v>
      </c>
      <c r="H373" s="285">
        <v>0</v>
      </c>
      <c r="I373" s="286">
        <v>0</v>
      </c>
      <c r="J373" s="285">
        <v>0</v>
      </c>
      <c r="K373" s="157">
        <v>0</v>
      </c>
      <c r="L373" s="285">
        <v>0</v>
      </c>
      <c r="M373" s="285"/>
    </row>
    <row r="374" spans="1:13">
      <c r="A374" s="63"/>
      <c r="B374" s="64"/>
      <c r="C374" s="65" t="s">
        <v>45</v>
      </c>
      <c r="D374" s="66">
        <f>SUM(D373)</f>
        <v>50000000</v>
      </c>
      <c r="E374" s="66">
        <v>0</v>
      </c>
      <c r="F374" s="66">
        <v>0</v>
      </c>
      <c r="G374" s="122">
        <v>0</v>
      </c>
      <c r="H374" s="66">
        <v>0</v>
      </c>
      <c r="I374" s="122">
        <v>0</v>
      </c>
      <c r="J374" s="66">
        <v>0</v>
      </c>
      <c r="K374" s="66">
        <f>SUM(K373)</f>
        <v>0</v>
      </c>
      <c r="L374" s="66">
        <v>0</v>
      </c>
      <c r="M374" s="66"/>
    </row>
    <row r="375" spans="1:13" ht="15.75" thickBot="1">
      <c r="A375" s="166"/>
      <c r="B375" s="167" t="s">
        <v>85</v>
      </c>
      <c r="C375" s="106"/>
      <c r="D375" s="107">
        <f>D269+D266</f>
        <v>3251325000</v>
      </c>
      <c r="E375" s="107">
        <f>E269+E266</f>
        <v>0</v>
      </c>
      <c r="F375" s="107">
        <f>F269+F266</f>
        <v>0</v>
      </c>
      <c r="G375" s="107">
        <f>G266+G269</f>
        <v>447048487</v>
      </c>
      <c r="H375" s="213">
        <f>G375/D375*100</f>
        <v>13.749732401405582</v>
      </c>
      <c r="I375" s="107">
        <f>I269+I266</f>
        <v>447048487</v>
      </c>
      <c r="J375" s="213">
        <f>I375/D375*100</f>
        <v>13.749732401405582</v>
      </c>
      <c r="K375" s="337">
        <f>3/12</f>
        <v>0.25</v>
      </c>
      <c r="L375" s="213">
        <f>J375</f>
        <v>13.749732401405582</v>
      </c>
      <c r="M375" s="158"/>
    </row>
    <row r="376" spans="1:13" ht="15.75" thickTop="1">
      <c r="A376" s="342"/>
      <c r="B376" s="343"/>
      <c r="C376" s="344"/>
      <c r="D376" s="345"/>
      <c r="E376" s="345"/>
      <c r="F376" s="345"/>
      <c r="G376" s="345"/>
      <c r="H376" s="346"/>
      <c r="I376" s="345"/>
      <c r="J376" s="346"/>
      <c r="K376" s="347"/>
      <c r="L376" s="346"/>
      <c r="M376" s="348"/>
    </row>
    <row r="377" spans="1:13">
      <c r="A377" s="168"/>
      <c r="B377" s="169"/>
      <c r="C377" s="170"/>
      <c r="D377" s="171"/>
      <c r="E377" s="108"/>
      <c r="H377" s="128"/>
      <c r="I377" s="159" t="s">
        <v>231</v>
      </c>
      <c r="J377" s="128"/>
      <c r="L377" s="128"/>
      <c r="M377" s="128"/>
    </row>
    <row r="378" spans="1:13">
      <c r="A378" s="172"/>
      <c r="B378" s="169"/>
      <c r="C378" s="173"/>
      <c r="D378" s="171"/>
      <c r="E378" s="174"/>
      <c r="H378" s="128"/>
      <c r="I378" s="159" t="s">
        <v>86</v>
      </c>
      <c r="J378" s="128"/>
      <c r="L378" s="128"/>
      <c r="M378" s="128"/>
    </row>
    <row r="379" spans="1:13">
      <c r="A379" s="172"/>
      <c r="B379" s="169"/>
      <c r="C379" s="173"/>
      <c r="D379" s="171"/>
      <c r="E379" s="108"/>
      <c r="H379" s="128"/>
      <c r="I379" s="159"/>
      <c r="J379" s="128"/>
      <c r="L379" s="128"/>
      <c r="M379" s="128"/>
    </row>
    <row r="380" spans="1:13">
      <c r="A380" s="175"/>
      <c r="B380" s="176"/>
      <c r="C380" s="177"/>
      <c r="D380" s="171"/>
      <c r="E380" s="108"/>
      <c r="G380" s="128" t="s">
        <v>227</v>
      </c>
      <c r="H380" s="128"/>
      <c r="I380" s="160" t="s">
        <v>120</v>
      </c>
      <c r="J380" s="128"/>
      <c r="L380" s="128"/>
      <c r="M380" s="128"/>
    </row>
    <row r="381" spans="1:13">
      <c r="A381" s="175"/>
      <c r="B381" s="176"/>
      <c r="C381" s="177"/>
      <c r="D381" s="175"/>
      <c r="E381" s="108"/>
      <c r="H381" s="128"/>
      <c r="I381" s="159" t="s">
        <v>108</v>
      </c>
      <c r="J381" s="128"/>
      <c r="L381" s="128"/>
      <c r="M381" s="128"/>
    </row>
    <row r="382" spans="1:13">
      <c r="A382" s="175"/>
      <c r="B382" s="176"/>
      <c r="C382" s="177"/>
      <c r="D382" s="175"/>
      <c r="E382" s="108"/>
      <c r="H382" s="128"/>
      <c r="I382" s="159" t="s">
        <v>121</v>
      </c>
      <c r="J382" s="128"/>
      <c r="L382" s="128"/>
      <c r="M382" s="128"/>
    </row>
    <row r="384" spans="1:13" ht="15.75">
      <c r="A384" s="832" t="s">
        <v>223</v>
      </c>
      <c r="B384" s="832"/>
      <c r="C384" s="832"/>
      <c r="D384" s="832"/>
      <c r="E384" s="832"/>
      <c r="F384" s="832"/>
      <c r="G384" s="832"/>
      <c r="H384" s="832"/>
      <c r="I384" s="832"/>
      <c r="J384" s="832"/>
      <c r="K384" s="832"/>
      <c r="L384" s="832"/>
      <c r="M384" s="832"/>
    </row>
    <row r="385" spans="1:14" ht="15.75">
      <c r="A385" s="832" t="s">
        <v>224</v>
      </c>
      <c r="B385" s="832"/>
      <c r="C385" s="832"/>
      <c r="D385" s="832"/>
      <c r="E385" s="832"/>
      <c r="F385" s="832"/>
      <c r="G385" s="832"/>
      <c r="H385" s="832"/>
      <c r="I385" s="832"/>
      <c r="J385" s="832"/>
      <c r="K385" s="832"/>
      <c r="L385" s="832"/>
      <c r="M385" s="832"/>
    </row>
    <row r="386" spans="1:14" ht="15.75">
      <c r="A386" s="308"/>
      <c r="B386" s="308"/>
      <c r="C386" s="308"/>
      <c r="D386" s="308"/>
      <c r="E386" s="308"/>
      <c r="F386" s="308"/>
      <c r="G386" s="303"/>
      <c r="H386" s="308"/>
      <c r="I386" s="308"/>
      <c r="J386" s="308"/>
      <c r="K386" s="303"/>
      <c r="L386" s="308"/>
      <c r="M386" s="308"/>
    </row>
    <row r="387" spans="1:14" ht="16.5">
      <c r="A387" s="1" t="s">
        <v>213</v>
      </c>
      <c r="B387" s="2"/>
      <c r="C387" s="3" t="s">
        <v>2</v>
      </c>
      <c r="E387" s="108"/>
      <c r="G387" s="304"/>
      <c r="H387" s="4"/>
      <c r="I387" s="5"/>
      <c r="J387" s="4"/>
      <c r="M387" s="4"/>
    </row>
    <row r="388" spans="1:14" ht="17.25" thickBot="1">
      <c r="A388" s="14" t="s">
        <v>225</v>
      </c>
      <c r="B388" s="14"/>
      <c r="C388" s="292" t="s">
        <v>232</v>
      </c>
      <c r="D388" s="129"/>
      <c r="E388" s="109"/>
      <c r="F388" s="129"/>
      <c r="G388" s="305"/>
      <c r="H388" s="14"/>
      <c r="I388" s="16"/>
      <c r="J388" s="14"/>
      <c r="K388" s="129"/>
      <c r="L388" s="15"/>
      <c r="M388" s="14"/>
    </row>
    <row r="389" spans="1:14" ht="15.75" thickTop="1">
      <c r="A389" s="833" t="s">
        <v>3</v>
      </c>
      <c r="B389" s="836" t="s">
        <v>4</v>
      </c>
      <c r="C389" s="837"/>
      <c r="D389" s="289" t="s">
        <v>5</v>
      </c>
      <c r="E389" s="110" t="s">
        <v>6</v>
      </c>
      <c r="F389" s="130"/>
      <c r="G389" s="842" t="s">
        <v>7</v>
      </c>
      <c r="H389" s="843"/>
      <c r="I389" s="843"/>
      <c r="J389" s="843"/>
      <c r="K389" s="844" t="s">
        <v>8</v>
      </c>
      <c r="L389" s="844"/>
      <c r="M389" s="833" t="s">
        <v>9</v>
      </c>
    </row>
    <row r="390" spans="1:14">
      <c r="A390" s="834"/>
      <c r="B390" s="838"/>
      <c r="C390" s="839"/>
      <c r="D390" s="290" t="s">
        <v>10</v>
      </c>
      <c r="E390" s="111" t="s">
        <v>11</v>
      </c>
      <c r="F390" s="111" t="s">
        <v>12</v>
      </c>
      <c r="G390" s="111" t="s">
        <v>13</v>
      </c>
      <c r="H390" s="845" t="s">
        <v>14</v>
      </c>
      <c r="I390" s="6" t="s">
        <v>15</v>
      </c>
      <c r="J390" s="846" t="s">
        <v>14</v>
      </c>
      <c r="K390" s="321" t="s">
        <v>16</v>
      </c>
      <c r="L390" s="7" t="s">
        <v>17</v>
      </c>
      <c r="M390" s="834"/>
    </row>
    <row r="391" spans="1:14">
      <c r="A391" s="835"/>
      <c r="B391" s="840"/>
      <c r="C391" s="841"/>
      <c r="D391" s="291" t="s">
        <v>18</v>
      </c>
      <c r="E391" s="112" t="s">
        <v>18</v>
      </c>
      <c r="F391" s="112"/>
      <c r="G391" s="306" t="s">
        <v>19</v>
      </c>
      <c r="H391" s="835"/>
      <c r="I391" s="8" t="s">
        <v>19</v>
      </c>
      <c r="J391" s="847"/>
      <c r="K391" s="322" t="s">
        <v>233</v>
      </c>
      <c r="L391" s="9" t="s">
        <v>233</v>
      </c>
      <c r="M391" s="835"/>
    </row>
    <row r="392" spans="1:14" ht="15.75" thickBot="1">
      <c r="A392" s="17">
        <v>1</v>
      </c>
      <c r="B392" s="828">
        <v>2</v>
      </c>
      <c r="C392" s="829"/>
      <c r="D392" s="113">
        <v>3</v>
      </c>
      <c r="E392" s="113">
        <v>4</v>
      </c>
      <c r="F392" s="113">
        <v>5</v>
      </c>
      <c r="G392" s="113">
        <v>6</v>
      </c>
      <c r="H392" s="18">
        <v>7</v>
      </c>
      <c r="I392" s="18">
        <v>8</v>
      </c>
      <c r="J392" s="18">
        <v>9</v>
      </c>
      <c r="K392" s="113">
        <v>10</v>
      </c>
      <c r="L392" s="18">
        <v>11</v>
      </c>
      <c r="M392" s="18">
        <v>12</v>
      </c>
    </row>
    <row r="393" spans="1:14" ht="15.75" thickBot="1">
      <c r="A393" s="35" t="s">
        <v>20</v>
      </c>
      <c r="B393" s="36" t="s">
        <v>21</v>
      </c>
      <c r="C393" s="37"/>
      <c r="D393" s="30">
        <f>D394+D395</f>
        <v>2257113000</v>
      </c>
      <c r="E393" s="30">
        <f>E394</f>
        <v>0</v>
      </c>
      <c r="F393" s="30">
        <v>0</v>
      </c>
      <c r="G393" s="30">
        <f>G394+G395</f>
        <v>576575438</v>
      </c>
      <c r="H393" s="214">
        <f>G393/D393*100</f>
        <v>25.544819333369663</v>
      </c>
      <c r="I393" s="30">
        <f>G393</f>
        <v>576575438</v>
      </c>
      <c r="J393" s="217">
        <f>I393/D393*100</f>
        <v>25.544819333369663</v>
      </c>
      <c r="K393" s="332">
        <f>4/12</f>
        <v>0.33333333333333331</v>
      </c>
      <c r="L393" s="215">
        <f>J393</f>
        <v>25.544819333369663</v>
      </c>
      <c r="M393" s="53"/>
    </row>
    <row r="394" spans="1:14" ht="15.75" thickBot="1">
      <c r="A394" s="38" t="s">
        <v>22</v>
      </c>
      <c r="B394" s="39" t="s">
        <v>23</v>
      </c>
      <c r="C394" s="40"/>
      <c r="D394" s="31">
        <v>1872153000</v>
      </c>
      <c r="E394" s="114">
        <v>0</v>
      </c>
      <c r="F394" s="30">
        <v>0</v>
      </c>
      <c r="G394" s="30">
        <v>473825438</v>
      </c>
      <c r="H394" s="214">
        <f>G394/D394*100</f>
        <v>25.309119393553836</v>
      </c>
      <c r="I394" s="296">
        <f>G394</f>
        <v>473825438</v>
      </c>
      <c r="J394" s="217">
        <f>I394/D394*100</f>
        <v>25.309119393553836</v>
      </c>
      <c r="K394" s="332">
        <f t="shared" ref="K394:K395" si="125">4/12</f>
        <v>0.33333333333333331</v>
      </c>
      <c r="L394" s="215">
        <f>J394</f>
        <v>25.309119393553836</v>
      </c>
      <c r="M394" s="146"/>
    </row>
    <row r="395" spans="1:14" ht="15.75" thickBot="1">
      <c r="A395" s="139"/>
      <c r="B395" s="140" t="s">
        <v>107</v>
      </c>
      <c r="C395" s="141"/>
      <c r="D395" s="31">
        <v>384960000</v>
      </c>
      <c r="E395" s="114">
        <v>0</v>
      </c>
      <c r="F395" s="30">
        <v>0</v>
      </c>
      <c r="G395" s="351">
        <v>102750000</v>
      </c>
      <c r="H395" s="214">
        <f>G395/D395*100</f>
        <v>26.691084788029922</v>
      </c>
      <c r="I395" s="296">
        <f>G395</f>
        <v>102750000</v>
      </c>
      <c r="J395" s="217">
        <f>I395/D395*100</f>
        <v>26.691084788029922</v>
      </c>
      <c r="K395" s="332">
        <f t="shared" si="125"/>
        <v>0.33333333333333331</v>
      </c>
      <c r="L395" s="215">
        <f>J395</f>
        <v>26.691084788029922</v>
      </c>
      <c r="M395" s="149"/>
      <c r="N395" s="161">
        <v>185999157</v>
      </c>
    </row>
    <row r="396" spans="1:14" ht="15.75" thickBot="1">
      <c r="A396" s="35" t="s">
        <v>24</v>
      </c>
      <c r="B396" s="36" t="s">
        <v>25</v>
      </c>
      <c r="C396" s="37"/>
      <c r="D396" s="30">
        <f>D413+D423+D426+D430+D433+D436+D442+D445+D449+D452+D456+D459+D462+D465+D469+D472+D475+D480+D484+D487+D492+D495+D498+D501</f>
        <v>994212000</v>
      </c>
      <c r="E396" s="30">
        <v>0</v>
      </c>
      <c r="F396" s="30">
        <v>0</v>
      </c>
      <c r="G396" s="30">
        <f>G413+G423+G452+G456+G472+G475+G462+G465+G469+G484+G436</f>
        <v>194483719</v>
      </c>
      <c r="H396" s="215">
        <f>G396/D396*100</f>
        <v>19.561594408436029</v>
      </c>
      <c r="I396" s="296">
        <f>G396</f>
        <v>194483719</v>
      </c>
      <c r="J396" s="217">
        <f>I396/D396*100</f>
        <v>19.561594408436029</v>
      </c>
      <c r="K396" s="336">
        <f>4/12</f>
        <v>0.33333333333333331</v>
      </c>
      <c r="L396" s="215">
        <f>J396</f>
        <v>19.561594408436029</v>
      </c>
      <c r="M396" s="30"/>
      <c r="N396" s="161">
        <f>I396-N395</f>
        <v>8484562</v>
      </c>
    </row>
    <row r="397" spans="1:14">
      <c r="A397" s="41" t="s">
        <v>26</v>
      </c>
      <c r="B397" s="42" t="s">
        <v>27</v>
      </c>
      <c r="C397" s="43"/>
      <c r="D397" s="32"/>
      <c r="E397" s="115"/>
      <c r="F397" s="32"/>
      <c r="G397" s="150"/>
      <c r="H397" s="151"/>
      <c r="I397" s="191"/>
      <c r="J397" s="150"/>
      <c r="K397" s="32"/>
      <c r="L397" s="32"/>
      <c r="M397" s="32"/>
    </row>
    <row r="398" spans="1:14">
      <c r="A398" s="44"/>
      <c r="B398" s="45" t="s">
        <v>26</v>
      </c>
      <c r="C398" s="46" t="s">
        <v>28</v>
      </c>
      <c r="D398" s="33">
        <v>6000000</v>
      </c>
      <c r="E398" s="116">
        <v>0</v>
      </c>
      <c r="F398" s="131">
        <v>0</v>
      </c>
      <c r="G398" s="192">
        <f>999000+501000</f>
        <v>1500000</v>
      </c>
      <c r="H398" s="299">
        <f>G398/D398*100</f>
        <v>25</v>
      </c>
      <c r="I398" s="192">
        <f>G398</f>
        <v>1500000</v>
      </c>
      <c r="J398" s="301">
        <f>H398</f>
        <v>25</v>
      </c>
      <c r="K398" s="331">
        <f>4/12</f>
        <v>0.33333333333333331</v>
      </c>
      <c r="L398" s="311">
        <f>J398</f>
        <v>25</v>
      </c>
      <c r="M398" s="131"/>
      <c r="N398" s="341"/>
    </row>
    <row r="399" spans="1:14">
      <c r="A399" s="44"/>
      <c r="B399" s="47" t="s">
        <v>29</v>
      </c>
      <c r="C399" s="48" t="s">
        <v>30</v>
      </c>
      <c r="D399" s="34">
        <v>8000000</v>
      </c>
      <c r="E399" s="297">
        <v>0</v>
      </c>
      <c r="F399" s="132">
        <v>0</v>
      </c>
      <c r="G399" s="192">
        <v>940879</v>
      </c>
      <c r="H399" s="299">
        <f t="shared" ref="H399:H412" si="126">G399/D399*100</f>
        <v>11.760987500000001</v>
      </c>
      <c r="I399" s="192">
        <f>G399</f>
        <v>940879</v>
      </c>
      <c r="J399" s="301">
        <f>I399/D399*100</f>
        <v>11.760987500000001</v>
      </c>
      <c r="K399" s="331">
        <f t="shared" ref="K399:K412" si="127">4/12</f>
        <v>0.33333333333333331</v>
      </c>
      <c r="L399" s="311">
        <f t="shared" ref="L399:L412" si="128">J399</f>
        <v>11.760987500000001</v>
      </c>
      <c r="M399" s="132"/>
    </row>
    <row r="400" spans="1:14">
      <c r="A400" s="44"/>
      <c r="B400" s="47" t="s">
        <v>29</v>
      </c>
      <c r="C400" s="48" t="s">
        <v>31</v>
      </c>
      <c r="D400" s="34">
        <v>5000000</v>
      </c>
      <c r="E400" s="297">
        <v>0</v>
      </c>
      <c r="F400" s="132">
        <v>0</v>
      </c>
      <c r="G400" s="192">
        <v>929800</v>
      </c>
      <c r="H400" s="299">
        <f t="shared" si="126"/>
        <v>18.596</v>
      </c>
      <c r="I400" s="192">
        <f t="shared" ref="I400:I401" si="129">G400</f>
        <v>929800</v>
      </c>
      <c r="J400" s="301">
        <f t="shared" ref="J400:J409" si="130">I400/D400*100</f>
        <v>18.596</v>
      </c>
      <c r="K400" s="331">
        <f t="shared" si="127"/>
        <v>0.33333333333333331</v>
      </c>
      <c r="L400" s="311">
        <f t="shared" si="128"/>
        <v>18.596</v>
      </c>
      <c r="M400" s="132"/>
    </row>
    <row r="401" spans="1:13">
      <c r="A401" s="44"/>
      <c r="B401" s="47" t="s">
        <v>29</v>
      </c>
      <c r="C401" s="48" t="s">
        <v>32</v>
      </c>
      <c r="D401" s="34">
        <v>12000000</v>
      </c>
      <c r="E401" s="297">
        <v>0</v>
      </c>
      <c r="F401" s="132">
        <v>0</v>
      </c>
      <c r="G401" s="192">
        <v>2574740</v>
      </c>
      <c r="H401" s="299">
        <f t="shared" si="126"/>
        <v>21.456166666666668</v>
      </c>
      <c r="I401" s="192">
        <f t="shared" si="129"/>
        <v>2574740</v>
      </c>
      <c r="J401" s="301">
        <f t="shared" si="130"/>
        <v>21.456166666666668</v>
      </c>
      <c r="K401" s="331">
        <f t="shared" si="127"/>
        <v>0.33333333333333331</v>
      </c>
      <c r="L401" s="311">
        <f t="shared" si="128"/>
        <v>21.456166666666668</v>
      </c>
      <c r="M401" s="132"/>
    </row>
    <row r="402" spans="1:13">
      <c r="A402" s="44"/>
      <c r="B402" s="47" t="s">
        <v>33</v>
      </c>
      <c r="C402" s="48" t="s">
        <v>34</v>
      </c>
      <c r="D402" s="34">
        <v>12105000</v>
      </c>
      <c r="E402" s="117">
        <v>0</v>
      </c>
      <c r="F402" s="132">
        <v>0</v>
      </c>
      <c r="G402" s="192">
        <v>2000000</v>
      </c>
      <c r="H402" s="299">
        <f t="shared" si="126"/>
        <v>16.522098306484921</v>
      </c>
      <c r="I402" s="192">
        <f>G402</f>
        <v>2000000</v>
      </c>
      <c r="J402" s="301">
        <f t="shared" si="130"/>
        <v>16.522098306484921</v>
      </c>
      <c r="K402" s="331">
        <f t="shared" si="127"/>
        <v>0.33333333333333331</v>
      </c>
      <c r="L402" s="311">
        <f t="shared" si="128"/>
        <v>16.522098306484921</v>
      </c>
      <c r="M402" s="132"/>
    </row>
    <row r="403" spans="1:13">
      <c r="A403" s="44"/>
      <c r="B403" s="47">
        <v>10</v>
      </c>
      <c r="C403" s="48" t="s">
        <v>35</v>
      </c>
      <c r="D403" s="34">
        <v>11895000</v>
      </c>
      <c r="E403" s="117">
        <v>0</v>
      </c>
      <c r="F403" s="132">
        <v>0</v>
      </c>
      <c r="G403" s="192">
        <f>1500000+1000000</f>
        <v>2500000</v>
      </c>
      <c r="H403" s="299">
        <f t="shared" si="126"/>
        <v>21.017234131988229</v>
      </c>
      <c r="I403" s="192">
        <f t="shared" ref="I403:I406" si="131">G403</f>
        <v>2500000</v>
      </c>
      <c r="J403" s="301">
        <f t="shared" si="130"/>
        <v>21.017234131988229</v>
      </c>
      <c r="K403" s="331">
        <f t="shared" si="127"/>
        <v>0.33333333333333331</v>
      </c>
      <c r="L403" s="311">
        <f t="shared" si="128"/>
        <v>21.017234131988229</v>
      </c>
      <c r="M403" s="132"/>
    </row>
    <row r="404" spans="1:13">
      <c r="A404" s="44"/>
      <c r="B404" s="47">
        <v>11</v>
      </c>
      <c r="C404" s="48" t="s">
        <v>36</v>
      </c>
      <c r="D404" s="34">
        <v>6000000</v>
      </c>
      <c r="E404" s="117">
        <v>0</v>
      </c>
      <c r="F404" s="132">
        <v>0</v>
      </c>
      <c r="G404" s="192">
        <f>1000000+500000</f>
        <v>1500000</v>
      </c>
      <c r="H404" s="299">
        <f t="shared" si="126"/>
        <v>25</v>
      </c>
      <c r="I404" s="192">
        <f t="shared" si="131"/>
        <v>1500000</v>
      </c>
      <c r="J404" s="301">
        <f t="shared" si="130"/>
        <v>25</v>
      </c>
      <c r="K404" s="331">
        <f t="shared" si="127"/>
        <v>0.33333333333333331</v>
      </c>
      <c r="L404" s="311">
        <f t="shared" si="128"/>
        <v>25</v>
      </c>
      <c r="M404" s="132"/>
    </row>
    <row r="405" spans="1:13">
      <c r="A405" s="44"/>
      <c r="B405" s="47">
        <v>11</v>
      </c>
      <c r="C405" s="48" t="s">
        <v>37</v>
      </c>
      <c r="D405" s="34">
        <v>18000000</v>
      </c>
      <c r="E405" s="117">
        <v>0</v>
      </c>
      <c r="F405" s="132">
        <v>0</v>
      </c>
      <c r="G405" s="192">
        <f>2525600+17850+34600</f>
        <v>2578050</v>
      </c>
      <c r="H405" s="299">
        <f t="shared" si="126"/>
        <v>14.3225</v>
      </c>
      <c r="I405" s="192">
        <f t="shared" si="131"/>
        <v>2578050</v>
      </c>
      <c r="J405" s="301">
        <f t="shared" si="130"/>
        <v>14.3225</v>
      </c>
      <c r="K405" s="331">
        <f t="shared" si="127"/>
        <v>0.33333333333333331</v>
      </c>
      <c r="L405" s="311">
        <f t="shared" si="128"/>
        <v>14.3225</v>
      </c>
      <c r="M405" s="132"/>
    </row>
    <row r="406" spans="1:13">
      <c r="A406" s="44"/>
      <c r="B406" s="47">
        <v>12</v>
      </c>
      <c r="C406" s="48" t="s">
        <v>38</v>
      </c>
      <c r="D406" s="34">
        <v>5000000</v>
      </c>
      <c r="E406" s="117">
        <v>0</v>
      </c>
      <c r="F406" s="132">
        <v>0</v>
      </c>
      <c r="G406" s="192">
        <v>1000000</v>
      </c>
      <c r="H406" s="299">
        <f t="shared" si="126"/>
        <v>20</v>
      </c>
      <c r="I406" s="192">
        <f t="shared" si="131"/>
        <v>1000000</v>
      </c>
      <c r="J406" s="301">
        <f t="shared" si="130"/>
        <v>20</v>
      </c>
      <c r="K406" s="331">
        <f t="shared" si="127"/>
        <v>0.33333333333333331</v>
      </c>
      <c r="L406" s="311">
        <f t="shared" si="128"/>
        <v>20</v>
      </c>
      <c r="M406" s="132"/>
    </row>
    <row r="407" spans="1:13">
      <c r="A407" s="44"/>
      <c r="B407" s="47">
        <v>13</v>
      </c>
      <c r="C407" s="48" t="s">
        <v>39</v>
      </c>
      <c r="D407" s="34">
        <v>5000000</v>
      </c>
      <c r="E407" s="117">
        <v>0</v>
      </c>
      <c r="F407" s="132">
        <v>0</v>
      </c>
      <c r="G407" s="192">
        <f>1000000+250000</f>
        <v>1250000</v>
      </c>
      <c r="H407" s="299">
        <f t="shared" si="126"/>
        <v>25</v>
      </c>
      <c r="I407" s="192">
        <f>G407</f>
        <v>1250000</v>
      </c>
      <c r="J407" s="301">
        <f t="shared" si="130"/>
        <v>25</v>
      </c>
      <c r="K407" s="331">
        <f t="shared" si="127"/>
        <v>0.33333333333333331</v>
      </c>
      <c r="L407" s="311">
        <f t="shared" si="128"/>
        <v>25</v>
      </c>
      <c r="M407" s="132"/>
    </row>
    <row r="408" spans="1:13">
      <c r="A408" s="44"/>
      <c r="B408" s="47">
        <v>15</v>
      </c>
      <c r="C408" s="48" t="s">
        <v>40</v>
      </c>
      <c r="D408" s="34">
        <v>3000000</v>
      </c>
      <c r="E408" s="117">
        <v>0</v>
      </c>
      <c r="F408" s="132">
        <v>0</v>
      </c>
      <c r="G408" s="192">
        <f>260000+140000</f>
        <v>400000</v>
      </c>
      <c r="H408" s="299">
        <f t="shared" si="126"/>
        <v>13.333333333333334</v>
      </c>
      <c r="I408" s="192">
        <f t="shared" ref="I408:I409" si="132">G408</f>
        <v>400000</v>
      </c>
      <c r="J408" s="301">
        <f t="shared" si="130"/>
        <v>13.333333333333334</v>
      </c>
      <c r="K408" s="331">
        <f t="shared" si="127"/>
        <v>0.33333333333333331</v>
      </c>
      <c r="L408" s="311">
        <f t="shared" si="128"/>
        <v>13.333333333333334</v>
      </c>
      <c r="M408" s="132"/>
    </row>
    <row r="409" spans="1:13">
      <c r="A409" s="44"/>
      <c r="B409" s="47">
        <v>17</v>
      </c>
      <c r="C409" s="48" t="s">
        <v>41</v>
      </c>
      <c r="D409" s="34">
        <v>5000000</v>
      </c>
      <c r="E409" s="117">
        <v>0</v>
      </c>
      <c r="F409" s="132">
        <v>0</v>
      </c>
      <c r="G409" s="192">
        <f>1000000+250000</f>
        <v>1250000</v>
      </c>
      <c r="H409" s="299">
        <f t="shared" si="126"/>
        <v>25</v>
      </c>
      <c r="I409" s="192">
        <f t="shared" si="132"/>
        <v>1250000</v>
      </c>
      <c r="J409" s="301">
        <f t="shared" si="130"/>
        <v>25</v>
      </c>
      <c r="K409" s="331">
        <f t="shared" si="127"/>
        <v>0.33333333333333331</v>
      </c>
      <c r="L409" s="311">
        <f t="shared" si="128"/>
        <v>25</v>
      </c>
      <c r="M409" s="132"/>
    </row>
    <row r="410" spans="1:13">
      <c r="A410" s="44"/>
      <c r="B410" s="47">
        <v>17</v>
      </c>
      <c r="C410" s="48" t="s">
        <v>42</v>
      </c>
      <c r="D410" s="34">
        <v>7000000</v>
      </c>
      <c r="E410" s="117">
        <v>0</v>
      </c>
      <c r="F410" s="132">
        <v>0</v>
      </c>
      <c r="G410" s="192">
        <f>1200000+400000</f>
        <v>1600000</v>
      </c>
      <c r="H410" s="299">
        <f t="shared" si="126"/>
        <v>22.857142857142858</v>
      </c>
      <c r="I410" s="192">
        <f>G410</f>
        <v>1600000</v>
      </c>
      <c r="J410" s="301">
        <f>I410/D410*100</f>
        <v>22.857142857142858</v>
      </c>
      <c r="K410" s="331">
        <f t="shared" si="127"/>
        <v>0.33333333333333331</v>
      </c>
      <c r="L410" s="311">
        <f t="shared" si="128"/>
        <v>22.857142857142858</v>
      </c>
      <c r="M410" s="132"/>
    </row>
    <row r="411" spans="1:13">
      <c r="A411" s="44"/>
      <c r="B411" s="47">
        <v>18</v>
      </c>
      <c r="C411" s="48" t="s">
        <v>43</v>
      </c>
      <c r="D411" s="34">
        <v>15000000</v>
      </c>
      <c r="E411" s="117">
        <v>0</v>
      </c>
      <c r="F411" s="132">
        <v>0</v>
      </c>
      <c r="G411" s="192">
        <f>1450000+375000+1525000</f>
        <v>3350000</v>
      </c>
      <c r="H411" s="299">
        <f t="shared" si="126"/>
        <v>22.333333333333332</v>
      </c>
      <c r="I411" s="192">
        <f>G411</f>
        <v>3350000</v>
      </c>
      <c r="J411" s="301">
        <f t="shared" ref="J411:J412" si="133">I411/D411*100</f>
        <v>22.333333333333332</v>
      </c>
      <c r="K411" s="331">
        <f t="shared" si="127"/>
        <v>0.33333333333333331</v>
      </c>
      <c r="L411" s="311">
        <f t="shared" si="128"/>
        <v>22.333333333333332</v>
      </c>
      <c r="M411" s="132"/>
    </row>
    <row r="412" spans="1:13" ht="15.75" thickBot="1">
      <c r="A412" s="44"/>
      <c r="B412" s="49">
        <v>19</v>
      </c>
      <c r="C412" s="50" t="s">
        <v>44</v>
      </c>
      <c r="D412" s="51">
        <v>51212000</v>
      </c>
      <c r="E412" s="298"/>
      <c r="F412" s="133">
        <v>0</v>
      </c>
      <c r="G412" s="192">
        <v>15879000</v>
      </c>
      <c r="H412" s="300">
        <f t="shared" si="126"/>
        <v>31.006404748886979</v>
      </c>
      <c r="I412" s="192">
        <f t="shared" ref="I412" si="134">G412</f>
        <v>15879000</v>
      </c>
      <c r="J412" s="301">
        <f t="shared" si="133"/>
        <v>31.006404748886979</v>
      </c>
      <c r="K412" s="331">
        <f t="shared" si="127"/>
        <v>0.33333333333333331</v>
      </c>
      <c r="L412" s="311">
        <f t="shared" si="128"/>
        <v>31.006404748886979</v>
      </c>
      <c r="M412" s="133"/>
    </row>
    <row r="413" spans="1:13" ht="15.75" thickBot="1">
      <c r="A413" s="35"/>
      <c r="B413" s="52"/>
      <c r="C413" s="37" t="s">
        <v>45</v>
      </c>
      <c r="D413" s="53">
        <f>SUM(D398:D412)</f>
        <v>170212000</v>
      </c>
      <c r="E413" s="53">
        <f>SUM(E398:E412)</f>
        <v>0</v>
      </c>
      <c r="F413" s="53">
        <f t="shared" ref="F413" si="135">SUM(F398:F412)</f>
        <v>0</v>
      </c>
      <c r="G413" s="53">
        <f>SUM(G398:G412)</f>
        <v>39252469</v>
      </c>
      <c r="H413" s="214">
        <f>G413/D413*100</f>
        <v>23.060929311681903</v>
      </c>
      <c r="I413" s="194">
        <f t="shared" ref="I413" si="136">SUM(I398:I412)</f>
        <v>39252469</v>
      </c>
      <c r="J413" s="214">
        <f>I413/D413*100</f>
        <v>23.060929311681903</v>
      </c>
      <c r="K413" s="332">
        <f>4/12</f>
        <v>0.33333333333333331</v>
      </c>
      <c r="L413" s="214">
        <f>J413</f>
        <v>23.060929311681903</v>
      </c>
      <c r="M413" s="53"/>
    </row>
    <row r="414" spans="1:13">
      <c r="A414" s="54" t="s">
        <v>29</v>
      </c>
      <c r="B414" s="55" t="s">
        <v>90</v>
      </c>
      <c r="C414" s="56"/>
      <c r="D414" s="57"/>
      <c r="E414" s="119"/>
      <c r="F414" s="131"/>
      <c r="G414" s="152"/>
      <c r="H414" s="152"/>
      <c r="I414" s="119"/>
      <c r="J414" s="152"/>
      <c r="K414" s="152"/>
      <c r="L414" s="152"/>
      <c r="M414" s="131"/>
    </row>
    <row r="415" spans="1:13">
      <c r="A415" s="279"/>
      <c r="B415" s="47" t="s">
        <v>53</v>
      </c>
      <c r="C415" s="46" t="s">
        <v>216</v>
      </c>
      <c r="D415" s="80">
        <v>40000000</v>
      </c>
      <c r="E415" s="119"/>
      <c r="F415" s="131"/>
      <c r="G415" s="152"/>
      <c r="H415" s="152"/>
      <c r="I415" s="119"/>
      <c r="J415" s="152"/>
      <c r="K415" s="331">
        <f t="shared" ref="K415:K416" si="137">4/12</f>
        <v>0.33333333333333331</v>
      </c>
      <c r="L415" s="152">
        <v>0</v>
      </c>
      <c r="M415" s="131"/>
    </row>
    <row r="416" spans="1:13">
      <c r="A416" s="44"/>
      <c r="B416" s="47" t="s">
        <v>46</v>
      </c>
      <c r="C416" s="58" t="s">
        <v>110</v>
      </c>
      <c r="D416" s="59">
        <v>20000000</v>
      </c>
      <c r="E416" s="120">
        <v>0</v>
      </c>
      <c r="F416" s="132">
        <v>0</v>
      </c>
      <c r="G416" s="119">
        <v>0</v>
      </c>
      <c r="H416" s="59" t="s">
        <v>132</v>
      </c>
      <c r="I416" s="119">
        <f>G416</f>
        <v>0</v>
      </c>
      <c r="J416" s="59" t="s">
        <v>132</v>
      </c>
      <c r="K416" s="331">
        <f t="shared" si="137"/>
        <v>0.33333333333333331</v>
      </c>
      <c r="L416" s="59">
        <v>0</v>
      </c>
      <c r="M416" s="132"/>
    </row>
    <row r="417" spans="1:13">
      <c r="A417" s="44"/>
      <c r="B417" s="47">
        <v>21</v>
      </c>
      <c r="C417" s="48" t="s">
        <v>47</v>
      </c>
      <c r="D417" s="59">
        <v>30000000</v>
      </c>
      <c r="E417" s="120">
        <v>0</v>
      </c>
      <c r="F417" s="132">
        <v>0</v>
      </c>
      <c r="G417" s="206">
        <v>30000000</v>
      </c>
      <c r="H417" s="299">
        <f t="shared" ref="H417:H421" si="138">G417/D417*100</f>
        <v>100</v>
      </c>
      <c r="I417" s="119">
        <f t="shared" ref="I417:I418" si="139">G417</f>
        <v>30000000</v>
      </c>
      <c r="J417" s="301">
        <f t="shared" ref="J417:J422" si="140">I417/D417*100</f>
        <v>100</v>
      </c>
      <c r="K417" s="331">
        <f t="shared" ref="K417:K422" si="141">4/12</f>
        <v>0.33333333333333331</v>
      </c>
      <c r="L417" s="311">
        <f t="shared" ref="L417:L418" si="142">J417</f>
        <v>100</v>
      </c>
      <c r="M417" s="132"/>
    </row>
    <row r="418" spans="1:13">
      <c r="A418" s="44"/>
      <c r="B418" s="47">
        <v>22</v>
      </c>
      <c r="C418" s="48" t="s">
        <v>48</v>
      </c>
      <c r="D418" s="60">
        <v>30000000</v>
      </c>
      <c r="E418" s="120">
        <v>0</v>
      </c>
      <c r="F418" s="132">
        <v>0</v>
      </c>
      <c r="G418" s="206">
        <v>30000000</v>
      </c>
      <c r="H418" s="299">
        <f t="shared" si="138"/>
        <v>100</v>
      </c>
      <c r="I418" s="119">
        <f t="shared" si="139"/>
        <v>30000000</v>
      </c>
      <c r="J418" s="301">
        <f t="shared" si="140"/>
        <v>100</v>
      </c>
      <c r="K418" s="331">
        <f t="shared" si="141"/>
        <v>0.33333333333333331</v>
      </c>
      <c r="L418" s="311">
        <f t="shared" si="142"/>
        <v>100</v>
      </c>
      <c r="M418" s="154"/>
    </row>
    <row r="419" spans="1:13">
      <c r="A419" s="44"/>
      <c r="B419" s="47">
        <v>24</v>
      </c>
      <c r="C419" s="48" t="s">
        <v>49</v>
      </c>
      <c r="D419" s="60">
        <v>35000000</v>
      </c>
      <c r="E419" s="120">
        <v>0</v>
      </c>
      <c r="F419" s="132">
        <v>0</v>
      </c>
      <c r="G419" s="206">
        <f>6051250+1700000</f>
        <v>7751250</v>
      </c>
      <c r="H419" s="299">
        <f t="shared" si="138"/>
        <v>22.146428571428572</v>
      </c>
      <c r="I419" s="192">
        <f>G419</f>
        <v>7751250</v>
      </c>
      <c r="J419" s="301">
        <f t="shared" si="140"/>
        <v>22.146428571428572</v>
      </c>
      <c r="K419" s="331">
        <f t="shared" si="141"/>
        <v>0.33333333333333331</v>
      </c>
      <c r="L419" s="311">
        <f>J419</f>
        <v>22.146428571428572</v>
      </c>
      <c r="M419" s="132"/>
    </row>
    <row r="420" spans="1:13">
      <c r="A420" s="44"/>
      <c r="B420" s="47">
        <v>26</v>
      </c>
      <c r="C420" s="48" t="s">
        <v>50</v>
      </c>
      <c r="D420" s="60">
        <v>4000000</v>
      </c>
      <c r="E420" s="120">
        <v>0</v>
      </c>
      <c r="F420" s="132">
        <v>0</v>
      </c>
      <c r="G420" s="206">
        <v>1000000</v>
      </c>
      <c r="H420" s="299">
        <f t="shared" si="138"/>
        <v>25</v>
      </c>
      <c r="I420" s="192">
        <f>G420</f>
        <v>1000000</v>
      </c>
      <c r="J420" s="301">
        <f t="shared" si="140"/>
        <v>25</v>
      </c>
      <c r="K420" s="331">
        <f t="shared" si="141"/>
        <v>0.33333333333333331</v>
      </c>
      <c r="L420" s="311">
        <f t="shared" ref="L420:L422" si="143">J420</f>
        <v>25</v>
      </c>
      <c r="M420" s="132"/>
    </row>
    <row r="421" spans="1:13">
      <c r="A421" s="44"/>
      <c r="B421" s="47">
        <v>28</v>
      </c>
      <c r="C421" s="48" t="s">
        <v>51</v>
      </c>
      <c r="D421" s="60">
        <v>12000000</v>
      </c>
      <c r="E421" s="120">
        <v>0</v>
      </c>
      <c r="F421" s="132">
        <v>0</v>
      </c>
      <c r="G421" s="206">
        <f>300000+300000+2250000</f>
        <v>2850000</v>
      </c>
      <c r="H421" s="299">
        <f t="shared" si="138"/>
        <v>23.75</v>
      </c>
      <c r="I421" s="192">
        <f t="shared" ref="I421:I422" si="144">G421</f>
        <v>2850000</v>
      </c>
      <c r="J421" s="301">
        <f t="shared" si="140"/>
        <v>23.75</v>
      </c>
      <c r="K421" s="331">
        <f t="shared" si="141"/>
        <v>0.33333333333333331</v>
      </c>
      <c r="L421" s="311">
        <f t="shared" si="143"/>
        <v>23.75</v>
      </c>
      <c r="M421" s="132"/>
    </row>
    <row r="422" spans="1:13">
      <c r="A422" s="44"/>
      <c r="B422" s="61">
        <v>29</v>
      </c>
      <c r="C422" s="50" t="s">
        <v>52</v>
      </c>
      <c r="D422" s="62">
        <v>2000000</v>
      </c>
      <c r="E422" s="121">
        <v>0</v>
      </c>
      <c r="F422" s="133">
        <v>0</v>
      </c>
      <c r="G422" s="197">
        <f>200000+100000</f>
        <v>300000</v>
      </c>
      <c r="H422" s="312">
        <f>G422/D422*100</f>
        <v>15</v>
      </c>
      <c r="I422" s="313">
        <f t="shared" si="144"/>
        <v>300000</v>
      </c>
      <c r="J422" s="314">
        <f t="shared" si="140"/>
        <v>15</v>
      </c>
      <c r="K422" s="331">
        <f t="shared" si="141"/>
        <v>0.33333333333333331</v>
      </c>
      <c r="L422" s="311">
        <f t="shared" si="143"/>
        <v>15</v>
      </c>
      <c r="M422" s="133"/>
    </row>
    <row r="423" spans="1:13">
      <c r="A423" s="63"/>
      <c r="B423" s="64"/>
      <c r="C423" s="65" t="s">
        <v>45</v>
      </c>
      <c r="D423" s="66">
        <f>SUM(D415:D422)</f>
        <v>173000000</v>
      </c>
      <c r="E423" s="122"/>
      <c r="F423" s="66"/>
      <c r="G423" s="285">
        <f>SUM(G415:G422)</f>
        <v>71901250</v>
      </c>
      <c r="H423" s="323">
        <f>G423/D423*100</f>
        <v>41.561416184971101</v>
      </c>
      <c r="I423" s="286">
        <f>SUM(I415:I422)</f>
        <v>71901250</v>
      </c>
      <c r="J423" s="323">
        <f>I423/D423*100</f>
        <v>41.561416184971101</v>
      </c>
      <c r="K423" s="333">
        <f>4/12</f>
        <v>0.33333333333333331</v>
      </c>
      <c r="L423" s="302">
        <f>J423</f>
        <v>41.561416184971101</v>
      </c>
      <c r="M423" s="66"/>
    </row>
    <row r="424" spans="1:13">
      <c r="A424" s="67" t="s">
        <v>53</v>
      </c>
      <c r="B424" s="68" t="s">
        <v>54</v>
      </c>
      <c r="C424" s="69"/>
      <c r="D424" s="70"/>
      <c r="E424" s="123"/>
      <c r="F424" s="134"/>
      <c r="G424" s="164"/>
      <c r="H424" s="148"/>
      <c r="I424" s="164"/>
      <c r="J424" s="152"/>
      <c r="K424" s="152"/>
      <c r="L424" s="156"/>
      <c r="M424" s="134"/>
    </row>
    <row r="425" spans="1:13">
      <c r="A425" s="44"/>
      <c r="B425" s="47" t="s">
        <v>26</v>
      </c>
      <c r="C425" s="48" t="s">
        <v>55</v>
      </c>
      <c r="D425" s="60">
        <v>25000000</v>
      </c>
      <c r="E425" s="120">
        <v>0</v>
      </c>
      <c r="F425" s="208">
        <v>0</v>
      </c>
      <c r="G425" s="197" t="s">
        <v>132</v>
      </c>
      <c r="H425" s="59" t="s">
        <v>132</v>
      </c>
      <c r="I425" s="197" t="s">
        <v>132</v>
      </c>
      <c r="J425" s="59" t="s">
        <v>132</v>
      </c>
      <c r="K425" s="59">
        <v>0</v>
      </c>
      <c r="L425" s="59">
        <v>0</v>
      </c>
      <c r="M425" s="132"/>
    </row>
    <row r="426" spans="1:13">
      <c r="A426" s="63"/>
      <c r="B426" s="71"/>
      <c r="C426" s="65" t="s">
        <v>45</v>
      </c>
      <c r="D426" s="66">
        <f>SUM(D425:D425)</f>
        <v>25000000</v>
      </c>
      <c r="E426" s="122">
        <f>SUM(E425:E425)</f>
        <v>0</v>
      </c>
      <c r="F426" s="202">
        <f>SUM(F425:F425)</f>
        <v>0</v>
      </c>
      <c r="G426" s="122" t="s">
        <v>132</v>
      </c>
      <c r="H426" s="66" t="s">
        <v>132</v>
      </c>
      <c r="I426" s="122" t="s">
        <v>132</v>
      </c>
      <c r="J426" s="155" t="s">
        <v>132</v>
      </c>
      <c r="K426" s="66">
        <f>SUM(K425:K425)</f>
        <v>0</v>
      </c>
      <c r="L426" s="66">
        <f>SUM(L425:L425)</f>
        <v>0</v>
      </c>
      <c r="M426" s="66"/>
    </row>
    <row r="427" spans="1:13">
      <c r="A427" s="44">
        <v>15</v>
      </c>
      <c r="B427" s="72" t="s">
        <v>61</v>
      </c>
      <c r="C427" s="73"/>
      <c r="D427" s="57"/>
      <c r="E427" s="119"/>
      <c r="F427" s="209"/>
      <c r="G427" s="119" t="s">
        <v>132</v>
      </c>
      <c r="H427" s="152" t="s">
        <v>132</v>
      </c>
      <c r="I427" s="119" t="s">
        <v>132</v>
      </c>
      <c r="J427" s="152" t="s">
        <v>132</v>
      </c>
      <c r="K427" s="152"/>
      <c r="L427" s="152"/>
      <c r="M427" s="131"/>
    </row>
    <row r="428" spans="1:13">
      <c r="A428" s="44"/>
      <c r="B428" s="47">
        <v>18</v>
      </c>
      <c r="C428" s="48" t="s">
        <v>62</v>
      </c>
      <c r="D428" s="60">
        <v>5000000</v>
      </c>
      <c r="E428" s="120">
        <v>0</v>
      </c>
      <c r="F428" s="208">
        <v>0</v>
      </c>
      <c r="G428" s="120" t="s">
        <v>132</v>
      </c>
      <c r="H428" s="59" t="s">
        <v>132</v>
      </c>
      <c r="I428" s="120" t="s">
        <v>132</v>
      </c>
      <c r="J428" s="59" t="s">
        <v>132</v>
      </c>
      <c r="K428" s="331">
        <f t="shared" ref="K428:K433" si="145">4/12</f>
        <v>0.33333333333333331</v>
      </c>
      <c r="L428" s="59">
        <v>0</v>
      </c>
      <c r="M428" s="132"/>
    </row>
    <row r="429" spans="1:13" ht="25.5">
      <c r="A429" s="44"/>
      <c r="B429" s="49">
        <v>63</v>
      </c>
      <c r="C429" s="244" t="s">
        <v>63</v>
      </c>
      <c r="D429" s="62">
        <v>5000000</v>
      </c>
      <c r="E429" s="121">
        <v>0</v>
      </c>
      <c r="F429" s="210">
        <v>0</v>
      </c>
      <c r="G429" s="121" t="s">
        <v>132</v>
      </c>
      <c r="H429" s="153" t="s">
        <v>132</v>
      </c>
      <c r="I429" s="121" t="s">
        <v>132</v>
      </c>
      <c r="J429" s="153" t="s">
        <v>132</v>
      </c>
      <c r="K429" s="349">
        <f t="shared" si="145"/>
        <v>0.33333333333333331</v>
      </c>
      <c r="L429" s="153">
        <v>0</v>
      </c>
      <c r="M429" s="133"/>
    </row>
    <row r="430" spans="1:13">
      <c r="A430" s="63"/>
      <c r="B430" s="64"/>
      <c r="C430" s="65" t="s">
        <v>45</v>
      </c>
      <c r="D430" s="66">
        <f>SUM(D428:D429)</f>
        <v>10000000</v>
      </c>
      <c r="E430" s="122">
        <f t="shared" ref="E430" si="146">SUM(E428:E429)</f>
        <v>0</v>
      </c>
      <c r="F430" s="202">
        <f>SUM(F428:F429)</f>
        <v>0</v>
      </c>
      <c r="G430" s="195" t="s">
        <v>132</v>
      </c>
      <c r="H430" s="66" t="s">
        <v>132</v>
      </c>
      <c r="I430" s="195" t="s">
        <v>132</v>
      </c>
      <c r="J430" s="155" t="s">
        <v>132</v>
      </c>
      <c r="K430" s="356">
        <f t="shared" si="145"/>
        <v>0.33333333333333331</v>
      </c>
      <c r="L430" s="66">
        <f t="shared" ref="L430" si="147">SUM(L428:L429)</f>
        <v>0</v>
      </c>
      <c r="M430" s="66"/>
    </row>
    <row r="431" spans="1:13">
      <c r="A431" s="44">
        <v>30</v>
      </c>
      <c r="B431" s="77" t="s">
        <v>64</v>
      </c>
      <c r="C431" s="78"/>
      <c r="D431" s="57"/>
      <c r="E431" s="119"/>
      <c r="F431" s="209"/>
      <c r="G431" s="119"/>
      <c r="H431" s="152"/>
      <c r="I431" s="119"/>
      <c r="J431" s="152"/>
      <c r="K431" s="152"/>
      <c r="L431" s="152"/>
      <c r="M431" s="131"/>
    </row>
    <row r="432" spans="1:13">
      <c r="A432" s="44"/>
      <c r="B432" s="45">
        <v>2</v>
      </c>
      <c r="C432" s="79" t="s">
        <v>102</v>
      </c>
      <c r="D432" s="80">
        <v>200000000</v>
      </c>
      <c r="E432" s="124">
        <v>0</v>
      </c>
      <c r="F432" s="209">
        <v>0</v>
      </c>
      <c r="G432" s="124">
        <v>0</v>
      </c>
      <c r="H432" s="152">
        <v>0</v>
      </c>
      <c r="I432" s="120" t="s">
        <v>132</v>
      </c>
      <c r="J432" s="152" t="s">
        <v>132</v>
      </c>
      <c r="K432" s="355">
        <f t="shared" si="145"/>
        <v>0.33333333333333331</v>
      </c>
      <c r="L432" s="152"/>
      <c r="M432" s="131"/>
    </row>
    <row r="433" spans="1:13">
      <c r="A433" s="63"/>
      <c r="B433" s="64"/>
      <c r="C433" s="65" t="s">
        <v>45</v>
      </c>
      <c r="D433" s="66">
        <f>SUM(D431:D432)</f>
        <v>200000000</v>
      </c>
      <c r="E433" s="66">
        <f>SUM(E431:E432)</f>
        <v>0</v>
      </c>
      <c r="F433" s="202">
        <f>SUM(F431:F432)</f>
        <v>0</v>
      </c>
      <c r="G433" s="122" t="s">
        <v>132</v>
      </c>
      <c r="H433" s="66" t="s">
        <v>132</v>
      </c>
      <c r="I433" s="122" t="s">
        <v>132</v>
      </c>
      <c r="J433" s="66" t="s">
        <v>132</v>
      </c>
      <c r="K433" s="356">
        <f t="shared" si="145"/>
        <v>0.33333333333333331</v>
      </c>
      <c r="L433" s="66">
        <f t="shared" ref="L433" si="148">SUM(L431:L432)</f>
        <v>0</v>
      </c>
      <c r="M433" s="66"/>
    </row>
    <row r="434" spans="1:13">
      <c r="A434" s="44">
        <v>21</v>
      </c>
      <c r="B434" s="81" t="s">
        <v>65</v>
      </c>
      <c r="C434" s="82"/>
      <c r="D434" s="57"/>
      <c r="E434" s="119"/>
      <c r="F434" s="209"/>
      <c r="G434" s="119"/>
      <c r="H434" s="152"/>
      <c r="I434" s="119"/>
      <c r="J434" s="152"/>
      <c r="K434" s="152"/>
      <c r="L434" s="152"/>
      <c r="M434" s="131"/>
    </row>
    <row r="435" spans="1:13">
      <c r="A435" s="44"/>
      <c r="B435" s="47" t="s">
        <v>46</v>
      </c>
      <c r="C435" s="48" t="s">
        <v>66</v>
      </c>
      <c r="D435" s="60">
        <v>20000000</v>
      </c>
      <c r="E435" s="125">
        <v>0</v>
      </c>
      <c r="F435" s="211">
        <v>0</v>
      </c>
      <c r="G435" s="199">
        <v>20000000</v>
      </c>
      <c r="H435" s="312">
        <f>G435/D435*100</f>
        <v>100</v>
      </c>
      <c r="I435" s="197">
        <f>G435</f>
        <v>20000000</v>
      </c>
      <c r="J435" s="59">
        <f>H435</f>
        <v>100</v>
      </c>
      <c r="K435" s="349">
        <f t="shared" ref="K435:K436" si="149">4/12</f>
        <v>0.33333333333333331</v>
      </c>
      <c r="L435" s="59">
        <f>J435</f>
        <v>100</v>
      </c>
      <c r="M435" s="132"/>
    </row>
    <row r="436" spans="1:13">
      <c r="A436" s="63"/>
      <c r="B436" s="83"/>
      <c r="C436" s="65" t="s">
        <v>45</v>
      </c>
      <c r="D436" s="66">
        <f>SUM(D435:D435)</f>
        <v>20000000</v>
      </c>
      <c r="E436" s="66">
        <f t="shared" ref="E436:F436" si="150">SUM(E433:E435)</f>
        <v>0</v>
      </c>
      <c r="F436" s="202">
        <f t="shared" si="150"/>
        <v>0</v>
      </c>
      <c r="G436" s="122">
        <f>SUM(G435)</f>
        <v>20000000</v>
      </c>
      <c r="H436" s="323">
        <f>G436/D436*100</f>
        <v>100</v>
      </c>
      <c r="I436" s="122">
        <f>SUM(I435)</f>
        <v>20000000</v>
      </c>
      <c r="J436" s="66">
        <f>H436</f>
        <v>100</v>
      </c>
      <c r="K436" s="350">
        <f t="shared" si="149"/>
        <v>0.33333333333333331</v>
      </c>
      <c r="L436" s="66">
        <f t="shared" ref="L436" si="151">SUM(L433:L435)</f>
        <v>100</v>
      </c>
      <c r="M436" s="66"/>
    </row>
    <row r="437" spans="1:13">
      <c r="A437" s="84">
        <v>18</v>
      </c>
      <c r="B437" s="826" t="s">
        <v>96</v>
      </c>
      <c r="C437" s="827"/>
      <c r="D437" s="57"/>
      <c r="E437" s="119"/>
      <c r="F437" s="209"/>
      <c r="G437" s="119"/>
      <c r="H437" s="152"/>
      <c r="I437" s="119"/>
      <c r="J437" s="152"/>
      <c r="K437" s="152"/>
      <c r="L437" s="152"/>
      <c r="M437" s="131"/>
    </row>
    <row r="438" spans="1:13">
      <c r="A438" s="84"/>
      <c r="B438" s="830" t="s">
        <v>95</v>
      </c>
      <c r="C438" s="831"/>
      <c r="D438" s="57"/>
      <c r="E438" s="124"/>
      <c r="F438" s="209"/>
      <c r="G438" s="119"/>
      <c r="H438" s="152"/>
      <c r="I438" s="119"/>
      <c r="J438" s="152"/>
      <c r="K438" s="152"/>
      <c r="L438" s="152"/>
      <c r="M438" s="131"/>
    </row>
    <row r="439" spans="1:13">
      <c r="A439" s="44"/>
      <c r="B439" s="47" t="s">
        <v>26</v>
      </c>
      <c r="C439" s="48" t="s">
        <v>67</v>
      </c>
      <c r="D439" s="60">
        <v>20000000</v>
      </c>
      <c r="E439" s="125">
        <v>0</v>
      </c>
      <c r="F439" s="211">
        <v>0</v>
      </c>
      <c r="G439" s="199" t="s">
        <v>132</v>
      </c>
      <c r="H439" s="59" t="s">
        <v>132</v>
      </c>
      <c r="I439" s="119" t="str">
        <f t="shared" ref="I439" si="152">G439</f>
        <v>-</v>
      </c>
      <c r="J439" s="59" t="s">
        <v>132</v>
      </c>
      <c r="K439" s="59">
        <v>0</v>
      </c>
      <c r="L439" s="59">
        <v>0</v>
      </c>
      <c r="M439" s="132"/>
    </row>
    <row r="440" spans="1:13">
      <c r="A440" s="44"/>
      <c r="B440" s="47" t="s">
        <v>29</v>
      </c>
      <c r="C440" s="204" t="s">
        <v>220</v>
      </c>
      <c r="D440" s="179">
        <v>7000000</v>
      </c>
      <c r="E440" s="180">
        <v>0</v>
      </c>
      <c r="F440" s="181">
        <v>0</v>
      </c>
      <c r="G440" s="207" t="s">
        <v>132</v>
      </c>
      <c r="H440" s="148" t="s">
        <v>132</v>
      </c>
      <c r="I440" s="119" t="s">
        <v>132</v>
      </c>
      <c r="J440" s="148" t="s">
        <v>132</v>
      </c>
      <c r="K440" s="59">
        <v>0</v>
      </c>
      <c r="L440" s="148">
        <v>0</v>
      </c>
      <c r="M440" s="165"/>
    </row>
    <row r="441" spans="1:13">
      <c r="A441" s="44"/>
      <c r="B441" s="47"/>
      <c r="C441" s="48" t="s">
        <v>117</v>
      </c>
      <c r="D441" s="60"/>
      <c r="E441" s="125"/>
      <c r="F441" s="135"/>
      <c r="G441" s="199"/>
      <c r="H441" s="59"/>
      <c r="I441" s="197"/>
      <c r="J441" s="59"/>
      <c r="K441" s="59"/>
      <c r="L441" s="59"/>
      <c r="M441" s="132"/>
    </row>
    <row r="442" spans="1:13">
      <c r="A442" s="63"/>
      <c r="B442" s="71"/>
      <c r="C442" s="65" t="s">
        <v>45</v>
      </c>
      <c r="D442" s="66">
        <f>SUM(D439:D441)</f>
        <v>27000000</v>
      </c>
      <c r="E442" s="66">
        <f t="shared" ref="E442" si="153">SUM(E439:E439)</f>
        <v>0</v>
      </c>
      <c r="F442" s="66">
        <f>SUM(F439:F439)</f>
        <v>0</v>
      </c>
      <c r="G442" s="122" t="s">
        <v>132</v>
      </c>
      <c r="H442" s="66" t="s">
        <v>132</v>
      </c>
      <c r="I442" s="122" t="s">
        <v>132</v>
      </c>
      <c r="J442" s="66" t="s">
        <v>132</v>
      </c>
      <c r="K442" s="66">
        <f>SUM(K439:K441)</f>
        <v>0</v>
      </c>
      <c r="L442" s="66">
        <f t="shared" ref="L442" si="154">SUM(L439:L439)</f>
        <v>0</v>
      </c>
      <c r="M442" s="66"/>
    </row>
    <row r="443" spans="1:13">
      <c r="A443" s="84">
        <v>17</v>
      </c>
      <c r="B443" s="826" t="s">
        <v>130</v>
      </c>
      <c r="C443" s="827"/>
      <c r="D443" s="57"/>
      <c r="E443" s="119"/>
      <c r="F443" s="131"/>
      <c r="G443" s="119"/>
      <c r="H443" s="152"/>
      <c r="I443" s="119"/>
      <c r="J443" s="152"/>
      <c r="K443" s="152"/>
      <c r="L443" s="152"/>
      <c r="M443" s="131"/>
    </row>
    <row r="444" spans="1:13">
      <c r="A444" s="44"/>
      <c r="B444" s="47" t="s">
        <v>53</v>
      </c>
      <c r="C444" s="48" t="s">
        <v>131</v>
      </c>
      <c r="D444" s="60">
        <v>24000000</v>
      </c>
      <c r="E444" s="125">
        <v>0</v>
      </c>
      <c r="F444" s="135">
        <v>0</v>
      </c>
      <c r="G444" s="197" t="s">
        <v>132</v>
      </c>
      <c r="H444" s="59" t="s">
        <v>132</v>
      </c>
      <c r="I444" s="197" t="s">
        <v>132</v>
      </c>
      <c r="J444" s="59" t="s">
        <v>132</v>
      </c>
      <c r="K444" s="59">
        <v>0</v>
      </c>
      <c r="L444" s="59">
        <v>0</v>
      </c>
      <c r="M444" s="132"/>
    </row>
    <row r="445" spans="1:13">
      <c r="A445" s="63"/>
      <c r="B445" s="64"/>
      <c r="C445" s="65" t="s">
        <v>45</v>
      </c>
      <c r="D445" s="66">
        <f>SUM(D444:D444)</f>
        <v>24000000</v>
      </c>
      <c r="E445" s="66">
        <f t="shared" ref="E445:F445" si="155">SUM(E443:E444)</f>
        <v>0</v>
      </c>
      <c r="F445" s="66">
        <f t="shared" si="155"/>
        <v>0</v>
      </c>
      <c r="G445" s="122" t="s">
        <v>132</v>
      </c>
      <c r="H445" s="66" t="s">
        <v>132</v>
      </c>
      <c r="I445" s="122" t="s">
        <v>132</v>
      </c>
      <c r="J445" s="66" t="s">
        <v>132</v>
      </c>
      <c r="K445" s="66">
        <f t="shared" ref="K445:L445" si="156">SUM(K443:K444)</f>
        <v>0</v>
      </c>
      <c r="L445" s="66">
        <f t="shared" si="156"/>
        <v>0</v>
      </c>
      <c r="M445" s="66"/>
    </row>
    <row r="446" spans="1:13">
      <c r="A446" s="44">
        <v>15</v>
      </c>
      <c r="B446" s="309" t="s">
        <v>68</v>
      </c>
      <c r="C446" s="86"/>
      <c r="D446" s="57"/>
      <c r="E446" s="119"/>
      <c r="F446" s="131"/>
      <c r="G446" s="119"/>
      <c r="H446" s="152"/>
      <c r="I446" s="119"/>
      <c r="J446" s="152"/>
      <c r="K446" s="152"/>
      <c r="L446" s="152"/>
      <c r="M446" s="131"/>
    </row>
    <row r="447" spans="1:13" ht="26.25">
      <c r="A447" s="44"/>
      <c r="B447" s="49" t="s">
        <v>80</v>
      </c>
      <c r="C447" s="50" t="s">
        <v>118</v>
      </c>
      <c r="D447" s="62">
        <v>10000000</v>
      </c>
      <c r="E447" s="125">
        <v>0</v>
      </c>
      <c r="F447" s="135">
        <v>0</v>
      </c>
      <c r="G447" s="119" t="s">
        <v>132</v>
      </c>
      <c r="H447" s="59" t="s">
        <v>132</v>
      </c>
      <c r="I447" s="119" t="s">
        <v>132</v>
      </c>
      <c r="J447" s="59" t="s">
        <v>132</v>
      </c>
      <c r="K447" s="339">
        <f t="shared" ref="K447" si="157">4/12</f>
        <v>0.33333333333333331</v>
      </c>
      <c r="L447" s="59">
        <v>0</v>
      </c>
      <c r="M447" s="132"/>
    </row>
    <row r="448" spans="1:13">
      <c r="A448" s="44"/>
      <c r="B448" s="49" t="s">
        <v>69</v>
      </c>
      <c r="C448" s="50" t="s">
        <v>70</v>
      </c>
      <c r="D448" s="62">
        <v>60000000</v>
      </c>
      <c r="E448" s="125">
        <v>0</v>
      </c>
      <c r="F448" s="135">
        <v>0</v>
      </c>
      <c r="G448" s="197" t="s">
        <v>132</v>
      </c>
      <c r="H448" s="59" t="s">
        <v>132</v>
      </c>
      <c r="I448" s="119" t="s">
        <v>132</v>
      </c>
      <c r="J448" s="59" t="s">
        <v>132</v>
      </c>
      <c r="K448" s="349">
        <f t="shared" ref="K448:K449" si="158">4/12</f>
        <v>0.33333333333333331</v>
      </c>
      <c r="L448" s="59">
        <v>0</v>
      </c>
      <c r="M448" s="132"/>
    </row>
    <row r="449" spans="1:13">
      <c r="A449" s="63"/>
      <c r="B449" s="64"/>
      <c r="C449" s="65" t="s">
        <v>45</v>
      </c>
      <c r="D449" s="66">
        <f>SUM(D447:D448)</f>
        <v>70000000</v>
      </c>
      <c r="E449" s="66">
        <f>SUM(E445:E448)</f>
        <v>0</v>
      </c>
      <c r="F449" s="66">
        <f>SUM(F445:F448)</f>
        <v>0</v>
      </c>
      <c r="G449" s="122" t="s">
        <v>132</v>
      </c>
      <c r="H449" s="66" t="s">
        <v>132</v>
      </c>
      <c r="I449" s="122" t="s">
        <v>132</v>
      </c>
      <c r="J449" s="66" t="s">
        <v>132</v>
      </c>
      <c r="K449" s="356">
        <f t="shared" si="158"/>
        <v>0.33333333333333331</v>
      </c>
      <c r="L449" s="66">
        <f>SUM(L445:L448)</f>
        <v>0</v>
      </c>
      <c r="M449" s="66"/>
    </row>
    <row r="450" spans="1:13">
      <c r="A450" s="44">
        <v>16</v>
      </c>
      <c r="B450" s="81" t="s">
        <v>71</v>
      </c>
      <c r="C450" s="82"/>
      <c r="D450" s="57"/>
      <c r="E450" s="119"/>
      <c r="F450" s="131"/>
      <c r="G450" s="119"/>
      <c r="H450" s="152"/>
      <c r="I450" s="119"/>
      <c r="J450" s="152"/>
      <c r="K450" s="152"/>
      <c r="L450" s="152"/>
      <c r="M450" s="131"/>
    </row>
    <row r="451" spans="1:13">
      <c r="A451" s="44"/>
      <c r="B451" s="47" t="s">
        <v>72</v>
      </c>
      <c r="C451" s="48" t="s">
        <v>73</v>
      </c>
      <c r="D451" s="60">
        <v>5000000</v>
      </c>
      <c r="E451" s="120">
        <v>0</v>
      </c>
      <c r="F451" s="132">
        <v>0</v>
      </c>
      <c r="G451" s="120">
        <v>5000000</v>
      </c>
      <c r="H451" s="312">
        <f>G451/D451*100</f>
        <v>100</v>
      </c>
      <c r="I451" s="313">
        <f t="shared" ref="I451:I452" si="159">G451</f>
        <v>5000000</v>
      </c>
      <c r="J451" s="314">
        <f t="shared" ref="J451:J452" si="160">I451/D451*100</f>
        <v>100</v>
      </c>
      <c r="K451" s="339">
        <v>0.33333333333333331</v>
      </c>
      <c r="L451" s="311">
        <f>J451</f>
        <v>100</v>
      </c>
      <c r="M451" s="132"/>
    </row>
    <row r="452" spans="1:13">
      <c r="A452" s="63"/>
      <c r="B452" s="83"/>
      <c r="C452" s="65" t="s">
        <v>45</v>
      </c>
      <c r="D452" s="66">
        <f>SUM(D451:D451)</f>
        <v>5000000</v>
      </c>
      <c r="E452" s="122">
        <f>SUM(E451:E451)</f>
        <v>0</v>
      </c>
      <c r="F452" s="66">
        <f>SUM(F451:F451)</f>
        <v>0</v>
      </c>
      <c r="G452" s="195">
        <f>G451</f>
        <v>5000000</v>
      </c>
      <c r="H452" s="310">
        <f>G452/D452*100</f>
        <v>100</v>
      </c>
      <c r="I452" s="192">
        <f t="shared" si="159"/>
        <v>5000000</v>
      </c>
      <c r="J452" s="311">
        <f t="shared" si="160"/>
        <v>100</v>
      </c>
      <c r="K452" s="333">
        <f>SUM(K451)</f>
        <v>0.33333333333333331</v>
      </c>
      <c r="L452" s="302">
        <f>SUM(L451)</f>
        <v>100</v>
      </c>
      <c r="M452" s="66"/>
    </row>
    <row r="453" spans="1:13">
      <c r="A453" s="87" t="s">
        <v>69</v>
      </c>
      <c r="B453" s="826" t="s">
        <v>89</v>
      </c>
      <c r="C453" s="827"/>
      <c r="D453" s="70"/>
      <c r="E453" s="123"/>
      <c r="F453" s="134"/>
      <c r="G453" s="123"/>
      <c r="H453" s="156"/>
      <c r="I453" s="123"/>
      <c r="J453" s="156"/>
      <c r="K453" s="156"/>
      <c r="L453" s="156"/>
      <c r="M453" s="134"/>
    </row>
    <row r="454" spans="1:13">
      <c r="A454" s="88"/>
      <c r="B454" s="830" t="s">
        <v>88</v>
      </c>
      <c r="C454" s="831"/>
      <c r="D454" s="57"/>
      <c r="E454" s="119"/>
      <c r="F454" s="131"/>
      <c r="G454" s="119"/>
      <c r="H454" s="152"/>
      <c r="I454" s="119"/>
      <c r="J454" s="152"/>
      <c r="K454" s="152"/>
      <c r="L454" s="152"/>
      <c r="M454" s="131"/>
    </row>
    <row r="455" spans="1:13">
      <c r="A455" s="89"/>
      <c r="B455" s="61" t="s">
        <v>26</v>
      </c>
      <c r="C455" s="90" t="s">
        <v>74</v>
      </c>
      <c r="D455" s="91">
        <v>15000000</v>
      </c>
      <c r="E455" s="126">
        <v>0</v>
      </c>
      <c r="F455" s="136">
        <v>0</v>
      </c>
      <c r="G455" s="126">
        <v>15000000</v>
      </c>
      <c r="H455" s="312">
        <f>G455/D455*100</f>
        <v>100</v>
      </c>
      <c r="I455" s="313">
        <f t="shared" ref="I455:I456" si="161">G455</f>
        <v>15000000</v>
      </c>
      <c r="J455" s="314">
        <f t="shared" ref="J455:J456" si="162">I455/D455*100</f>
        <v>100</v>
      </c>
      <c r="K455" s="339">
        <v>0.33333333333333331</v>
      </c>
      <c r="L455" s="311">
        <f>J455</f>
        <v>100</v>
      </c>
      <c r="M455" s="136"/>
    </row>
    <row r="456" spans="1:13">
      <c r="A456" s="63"/>
      <c r="B456" s="83"/>
      <c r="C456" s="65" t="s">
        <v>45</v>
      </c>
      <c r="D456" s="66">
        <f>SUM(D455:D455)</f>
        <v>15000000</v>
      </c>
      <c r="E456" s="122">
        <f>SUM(E455:E455)</f>
        <v>0</v>
      </c>
      <c r="F456" s="66">
        <f>SUM(F455:F455)</f>
        <v>0</v>
      </c>
      <c r="G456" s="126">
        <f>SUM(G455)</f>
        <v>15000000</v>
      </c>
      <c r="H456" s="316">
        <f>G456/D456*100</f>
        <v>100</v>
      </c>
      <c r="I456" s="315">
        <f t="shared" si="161"/>
        <v>15000000</v>
      </c>
      <c r="J456" s="317">
        <f t="shared" si="162"/>
        <v>100</v>
      </c>
      <c r="K456" s="333">
        <f>SUM(K455)</f>
        <v>0.33333333333333331</v>
      </c>
      <c r="L456" s="302">
        <f>SUM(L455)</f>
        <v>100</v>
      </c>
      <c r="M456" s="66"/>
    </row>
    <row r="457" spans="1:13">
      <c r="A457" s="88"/>
      <c r="B457" s="826" t="s">
        <v>94</v>
      </c>
      <c r="C457" s="827"/>
      <c r="D457" s="57"/>
      <c r="E457" s="119"/>
      <c r="F457" s="131"/>
      <c r="G457" s="119"/>
      <c r="H457" s="152"/>
      <c r="I457" s="119"/>
      <c r="J457" s="152"/>
      <c r="K457" s="152"/>
      <c r="L457" s="152"/>
      <c r="M457" s="131"/>
    </row>
    <row r="458" spans="1:13">
      <c r="A458" s="84"/>
      <c r="B458" s="92" t="s">
        <v>26</v>
      </c>
      <c r="C458" s="48" t="s">
        <v>134</v>
      </c>
      <c r="D458" s="60">
        <v>4000000</v>
      </c>
      <c r="E458" s="125">
        <v>0</v>
      </c>
      <c r="F458" s="135">
        <v>0</v>
      </c>
      <c r="G458" s="197" t="s">
        <v>132</v>
      </c>
      <c r="H458" s="59" t="s">
        <v>132</v>
      </c>
      <c r="I458" s="197" t="s">
        <v>132</v>
      </c>
      <c r="J458" s="59" t="s">
        <v>132</v>
      </c>
      <c r="K458" s="355">
        <f>4/12</f>
        <v>0.33333333333333331</v>
      </c>
      <c r="L458" s="59">
        <v>0</v>
      </c>
      <c r="M458" s="132"/>
    </row>
    <row r="459" spans="1:13">
      <c r="A459" s="93"/>
      <c r="B459" s="64"/>
      <c r="C459" s="65" t="s">
        <v>45</v>
      </c>
      <c r="D459" s="66">
        <f>SUM(D458:D458)</f>
        <v>4000000</v>
      </c>
      <c r="E459" s="66">
        <f t="shared" ref="E459:F459" si="163">SUM(E453:E458)</f>
        <v>0</v>
      </c>
      <c r="F459" s="66">
        <f t="shared" si="163"/>
        <v>0</v>
      </c>
      <c r="G459" s="122" t="s">
        <v>132</v>
      </c>
      <c r="H459" s="66" t="s">
        <v>132</v>
      </c>
      <c r="I459" s="122" t="s">
        <v>132</v>
      </c>
      <c r="J459" s="66" t="s">
        <v>132</v>
      </c>
      <c r="K459" s="356">
        <f>4/12</f>
        <v>0.33333333333333331</v>
      </c>
      <c r="L459" s="66">
        <v>0</v>
      </c>
      <c r="M459" s="66"/>
    </row>
    <row r="460" spans="1:13">
      <c r="A460" s="84">
        <v>16</v>
      </c>
      <c r="B460" s="826" t="s">
        <v>75</v>
      </c>
      <c r="C460" s="827"/>
      <c r="D460" s="57"/>
      <c r="E460" s="119"/>
      <c r="F460" s="131"/>
      <c r="G460" s="119"/>
      <c r="H460" s="156"/>
      <c r="I460" s="123"/>
      <c r="J460" s="152"/>
      <c r="K460" s="152"/>
      <c r="L460" s="152"/>
      <c r="M460" s="131"/>
    </row>
    <row r="461" spans="1:13">
      <c r="A461" s="84"/>
      <c r="B461" s="94" t="s">
        <v>72</v>
      </c>
      <c r="C461" s="95" t="s">
        <v>103</v>
      </c>
      <c r="D461" s="80">
        <v>10000000</v>
      </c>
      <c r="E461" s="124"/>
      <c r="F461" s="131"/>
      <c r="G461" s="218">
        <v>3000000</v>
      </c>
      <c r="H461" s="312">
        <f>G461/D461*100</f>
        <v>30</v>
      </c>
      <c r="I461" s="313">
        <f t="shared" ref="I461" si="164">G461</f>
        <v>3000000</v>
      </c>
      <c r="J461" s="314">
        <f t="shared" ref="J461" si="165">I461/D461*100</f>
        <v>30</v>
      </c>
      <c r="K461" s="339">
        <v>0.33333333333333331</v>
      </c>
      <c r="L461" s="311">
        <f>J461</f>
        <v>30</v>
      </c>
      <c r="M461" s="131"/>
    </row>
    <row r="462" spans="1:13">
      <c r="A462" s="93"/>
      <c r="B462" s="83"/>
      <c r="C462" s="65" t="s">
        <v>45</v>
      </c>
      <c r="D462" s="66">
        <f>SUM(D461)</f>
        <v>10000000</v>
      </c>
      <c r="E462" s="66">
        <f t="shared" ref="E462:F462" si="166">SUM(E460:E461)</f>
        <v>0</v>
      </c>
      <c r="F462" s="66">
        <f t="shared" si="166"/>
        <v>0</v>
      </c>
      <c r="G462" s="122">
        <f>SUM(G461)</f>
        <v>3000000</v>
      </c>
      <c r="H462" s="302">
        <f t="shared" ref="H462:L462" si="167">SUM(H461)</f>
        <v>30</v>
      </c>
      <c r="I462" s="122">
        <f t="shared" si="167"/>
        <v>3000000</v>
      </c>
      <c r="J462" s="302">
        <f t="shared" si="167"/>
        <v>30</v>
      </c>
      <c r="K462" s="333">
        <f>SUM(K461)</f>
        <v>0.33333333333333331</v>
      </c>
      <c r="L462" s="302">
        <f t="shared" si="167"/>
        <v>30</v>
      </c>
      <c r="M462" s="66"/>
    </row>
    <row r="463" spans="1:13">
      <c r="A463" s="84">
        <v>22</v>
      </c>
      <c r="B463" s="826" t="s">
        <v>87</v>
      </c>
      <c r="C463" s="827"/>
      <c r="D463" s="57"/>
      <c r="E463" s="119"/>
      <c r="F463" s="131"/>
      <c r="G463" s="119"/>
      <c r="H463" s="152"/>
      <c r="I463" s="119"/>
      <c r="J463" s="152"/>
      <c r="K463" s="152"/>
      <c r="L463" s="152"/>
      <c r="M463" s="131"/>
    </row>
    <row r="464" spans="1:13" ht="25.5">
      <c r="A464" s="84"/>
      <c r="B464" s="47" t="s">
        <v>26</v>
      </c>
      <c r="C464" s="95" t="s">
        <v>76</v>
      </c>
      <c r="D464" s="60">
        <v>3500000</v>
      </c>
      <c r="E464" s="125">
        <v>0</v>
      </c>
      <c r="F464" s="135">
        <v>0</v>
      </c>
      <c r="G464" s="197">
        <v>875000</v>
      </c>
      <c r="H464" s="312">
        <f>G464/D464*100</f>
        <v>25</v>
      </c>
      <c r="I464" s="197">
        <f>G464</f>
        <v>875000</v>
      </c>
      <c r="J464" s="314">
        <f t="shared" ref="J464:J465" si="168">I464/D464*100</f>
        <v>25</v>
      </c>
      <c r="K464" s="339">
        <v>0.33333333333333331</v>
      </c>
      <c r="L464" s="311">
        <f>J464</f>
        <v>25</v>
      </c>
      <c r="M464" s="132"/>
    </row>
    <row r="465" spans="1:13">
      <c r="A465" s="63"/>
      <c r="B465" s="83"/>
      <c r="C465" s="65" t="s">
        <v>45</v>
      </c>
      <c r="D465" s="66">
        <f>SUM(D464:D464)</f>
        <v>3500000</v>
      </c>
      <c r="E465" s="66">
        <f t="shared" ref="E465:F465" si="169">SUM(E462:E464)</f>
        <v>0</v>
      </c>
      <c r="F465" s="66">
        <f t="shared" si="169"/>
        <v>0</v>
      </c>
      <c r="G465" s="122">
        <f>SUM(G464)</f>
        <v>875000</v>
      </c>
      <c r="H465" s="312">
        <f>G465/D465*100</f>
        <v>25</v>
      </c>
      <c r="I465" s="122">
        <f>SUM(I464)</f>
        <v>875000</v>
      </c>
      <c r="J465" s="314">
        <f t="shared" si="168"/>
        <v>25</v>
      </c>
      <c r="K465" s="333">
        <f>SUM(K464)</f>
        <v>0.33333333333333331</v>
      </c>
      <c r="L465" s="302">
        <f>SUM(L464)</f>
        <v>25</v>
      </c>
      <c r="M465" s="66"/>
    </row>
    <row r="466" spans="1:13">
      <c r="A466" s="44">
        <v>17</v>
      </c>
      <c r="B466" s="822" t="s">
        <v>56</v>
      </c>
      <c r="C466" s="823"/>
      <c r="D466" s="57"/>
      <c r="E466" s="119"/>
      <c r="F466" s="131"/>
      <c r="G466" s="119"/>
      <c r="H466" s="152"/>
      <c r="I466" s="119"/>
      <c r="J466" s="152"/>
      <c r="K466" s="152"/>
      <c r="L466" s="152"/>
      <c r="M466" s="131"/>
    </row>
    <row r="467" spans="1:13">
      <c r="A467" s="44"/>
      <c r="B467" s="47">
        <v>19</v>
      </c>
      <c r="C467" s="824" t="s">
        <v>91</v>
      </c>
      <c r="E467" s="120"/>
      <c r="F467" s="132"/>
      <c r="G467" s="119"/>
      <c r="H467" s="59"/>
      <c r="I467" s="119"/>
      <c r="J467" s="59"/>
      <c r="K467" s="59"/>
      <c r="L467" s="59"/>
      <c r="M467" s="132"/>
    </row>
    <row r="468" spans="1:13">
      <c r="A468" s="44"/>
      <c r="B468" s="163"/>
      <c r="C468" s="825"/>
      <c r="D468" s="60">
        <v>25000000</v>
      </c>
      <c r="E468" s="164">
        <v>0</v>
      </c>
      <c r="F468" s="165">
        <v>0</v>
      </c>
      <c r="G468" s="330">
        <v>5980000</v>
      </c>
      <c r="H468" s="312">
        <f>G468/D468*100</f>
        <v>23.919999999999998</v>
      </c>
      <c r="I468" s="197">
        <f>G468</f>
        <v>5980000</v>
      </c>
      <c r="J468" s="314">
        <f t="shared" ref="J468" si="170">I468/D468*100</f>
        <v>23.919999999999998</v>
      </c>
      <c r="K468" s="339">
        <v>0.33333333333333331</v>
      </c>
      <c r="L468" s="314">
        <f>J468</f>
        <v>23.919999999999998</v>
      </c>
      <c r="M468" s="165"/>
    </row>
    <row r="469" spans="1:13">
      <c r="A469" s="63"/>
      <c r="B469" s="96"/>
      <c r="C469" s="65" t="s">
        <v>45</v>
      </c>
      <c r="D469" s="66">
        <f>SUM(D468:D468)</f>
        <v>25000000</v>
      </c>
      <c r="E469" s="122">
        <f>SUM(E467:E467)</f>
        <v>0</v>
      </c>
      <c r="F469" s="137">
        <f>SUM(F467:F467)</f>
        <v>0</v>
      </c>
      <c r="G469" s="122">
        <f>SUM(G468)</f>
        <v>5980000</v>
      </c>
      <c r="H469" s="302">
        <f>SUM(H468)</f>
        <v>23.919999999999998</v>
      </c>
      <c r="I469" s="122">
        <f>SUM(I468)</f>
        <v>5980000</v>
      </c>
      <c r="J469" s="324">
        <f>SUM(J468)</f>
        <v>23.919999999999998</v>
      </c>
      <c r="K469" s="333">
        <f>SUM(K468)</f>
        <v>0.33333333333333331</v>
      </c>
      <c r="L469" s="340">
        <f>J469</f>
        <v>23.919999999999998</v>
      </c>
      <c r="M469" s="137"/>
    </row>
    <row r="470" spans="1:13">
      <c r="A470" s="44">
        <v>19</v>
      </c>
      <c r="B470" s="826" t="s">
        <v>57</v>
      </c>
      <c r="C470" s="827"/>
      <c r="D470" s="57"/>
      <c r="E470" s="119"/>
      <c r="F470" s="131"/>
      <c r="G470" s="119"/>
      <c r="H470" s="152"/>
      <c r="I470" s="119"/>
      <c r="J470" s="152"/>
      <c r="K470" s="152"/>
      <c r="L470" s="152"/>
      <c r="M470" s="131"/>
    </row>
    <row r="471" spans="1:13">
      <c r="A471" s="44"/>
      <c r="B471" s="47" t="s">
        <v>26</v>
      </c>
      <c r="C471" s="48" t="s">
        <v>58</v>
      </c>
      <c r="D471" s="60">
        <v>15000000</v>
      </c>
      <c r="E471" s="120">
        <v>0</v>
      </c>
      <c r="F471" s="132">
        <v>0</v>
      </c>
      <c r="G471" s="197">
        <v>15000000</v>
      </c>
      <c r="H471" s="59">
        <f>G471/D471*100</f>
        <v>100</v>
      </c>
      <c r="I471" s="197">
        <v>15000000</v>
      </c>
      <c r="J471" s="301">
        <f>I471/D471*100</f>
        <v>100</v>
      </c>
      <c r="K471" s="339">
        <v>0.33333333333333331</v>
      </c>
      <c r="L471" s="311">
        <f>J471</f>
        <v>100</v>
      </c>
      <c r="M471" s="132"/>
    </row>
    <row r="472" spans="1:13">
      <c r="A472" s="183"/>
      <c r="B472" s="64"/>
      <c r="C472" s="65" t="s">
        <v>45</v>
      </c>
      <c r="D472" s="66">
        <f>SUM(D471)</f>
        <v>15000000</v>
      </c>
      <c r="E472" s="122">
        <f>SUM(E469:E469)</f>
        <v>0</v>
      </c>
      <c r="F472" s="66">
        <f>SUM(F469:F469)</f>
        <v>0</v>
      </c>
      <c r="G472" s="122">
        <f>G471</f>
        <v>15000000</v>
      </c>
      <c r="H472" s="66">
        <f>G472/D472*100</f>
        <v>100</v>
      </c>
      <c r="I472" s="122">
        <f>I471</f>
        <v>15000000</v>
      </c>
      <c r="J472" s="324">
        <f>I472/D472*100</f>
        <v>100</v>
      </c>
      <c r="K472" s="333">
        <f>SUM(K471)</f>
        <v>0.33333333333333331</v>
      </c>
      <c r="L472" s="302">
        <f>SUM(L471)</f>
        <v>100</v>
      </c>
      <c r="M472" s="66"/>
    </row>
    <row r="473" spans="1:13">
      <c r="A473" s="44">
        <v>32</v>
      </c>
      <c r="B473" s="97" t="s">
        <v>59</v>
      </c>
      <c r="C473" s="98"/>
      <c r="D473" s="57"/>
      <c r="E473" s="119"/>
      <c r="F473" s="131"/>
      <c r="G473" s="119"/>
      <c r="H473" s="152"/>
      <c r="I473" s="119"/>
      <c r="J473" s="152"/>
      <c r="K473" s="152"/>
      <c r="L473" s="152"/>
      <c r="M473" s="131"/>
    </row>
    <row r="474" spans="1:13">
      <c r="A474" s="44"/>
      <c r="B474" s="47" t="s">
        <v>26</v>
      </c>
      <c r="C474" s="58" t="s">
        <v>60</v>
      </c>
      <c r="D474" s="60">
        <v>15000000</v>
      </c>
      <c r="E474" s="120">
        <v>0</v>
      </c>
      <c r="F474" s="132">
        <v>0</v>
      </c>
      <c r="G474" s="197">
        <f>750000+225000</f>
        <v>975000</v>
      </c>
      <c r="H474" s="301">
        <f>G474/D474*100</f>
        <v>6.5</v>
      </c>
      <c r="I474" s="192">
        <f>G474</f>
        <v>975000</v>
      </c>
      <c r="J474" s="301">
        <f t="shared" ref="J474" si="171">I474/D474*100</f>
        <v>6.5</v>
      </c>
      <c r="K474" s="339">
        <v>0.33333333333333331</v>
      </c>
      <c r="L474" s="311">
        <f>J474</f>
        <v>6.5</v>
      </c>
      <c r="M474" s="132"/>
    </row>
    <row r="475" spans="1:13">
      <c r="A475" s="63"/>
      <c r="B475" s="64"/>
      <c r="C475" s="65" t="s">
        <v>45</v>
      </c>
      <c r="D475" s="66">
        <f>SUM(D474)</f>
        <v>15000000</v>
      </c>
      <c r="E475" s="122">
        <f>SUM(E474:E474)</f>
        <v>0</v>
      </c>
      <c r="F475" s="66">
        <f>SUM(F474:F474)</f>
        <v>0</v>
      </c>
      <c r="G475" s="122">
        <f>G474</f>
        <v>975000</v>
      </c>
      <c r="H475" s="302">
        <f>G475/D475*100</f>
        <v>6.5</v>
      </c>
      <c r="I475" s="122">
        <f>I474</f>
        <v>975000</v>
      </c>
      <c r="J475" s="302">
        <f>I475/D475*100</f>
        <v>6.5</v>
      </c>
      <c r="K475" s="333">
        <f>SUM(K474:K474)</f>
        <v>0.33333333333333331</v>
      </c>
      <c r="L475" s="302">
        <f>SUM(L474:L474)</f>
        <v>6.5</v>
      </c>
      <c r="M475" s="66"/>
    </row>
    <row r="476" spans="1:13">
      <c r="A476" s="99">
        <v>15</v>
      </c>
      <c r="B476" s="100" t="s">
        <v>77</v>
      </c>
      <c r="C476" s="307"/>
      <c r="D476" s="70"/>
      <c r="E476" s="123"/>
      <c r="F476" s="134"/>
      <c r="G476" s="123"/>
      <c r="H476" s="156"/>
      <c r="I476" s="123"/>
      <c r="J476" s="144"/>
      <c r="K476" s="156"/>
      <c r="L476" s="156"/>
      <c r="M476" s="134"/>
    </row>
    <row r="477" spans="1:13">
      <c r="A477" s="84"/>
      <c r="B477" s="101" t="s">
        <v>78</v>
      </c>
      <c r="C477" s="48"/>
      <c r="D477" s="102"/>
      <c r="E477" s="119"/>
      <c r="F477" s="131"/>
      <c r="G477" s="119"/>
      <c r="H477" s="152"/>
      <c r="I477" s="119"/>
      <c r="J477" s="59"/>
      <c r="K477" s="152"/>
      <c r="L477" s="152"/>
      <c r="M477" s="131"/>
    </row>
    <row r="478" spans="1:13">
      <c r="A478" s="44"/>
      <c r="B478" s="47" t="s">
        <v>26</v>
      </c>
      <c r="C478" s="48" t="s">
        <v>79</v>
      </c>
      <c r="D478" s="60">
        <v>5000000</v>
      </c>
      <c r="E478" s="120">
        <v>0</v>
      </c>
      <c r="F478" s="132">
        <v>0</v>
      </c>
      <c r="G478" s="199" t="s">
        <v>132</v>
      </c>
      <c r="H478" s="59" t="s">
        <v>132</v>
      </c>
      <c r="I478" s="199" t="s">
        <v>132</v>
      </c>
      <c r="J478" s="59" t="s">
        <v>132</v>
      </c>
      <c r="K478" s="339">
        <f t="shared" ref="K478" si="172">4/12</f>
        <v>0.33333333333333331</v>
      </c>
      <c r="L478" s="59">
        <v>0</v>
      </c>
      <c r="M478" s="132"/>
    </row>
    <row r="479" spans="1:13">
      <c r="A479" s="89"/>
      <c r="B479" s="61" t="s">
        <v>80</v>
      </c>
      <c r="C479" s="103" t="s">
        <v>104</v>
      </c>
      <c r="D479" s="91">
        <v>15000000</v>
      </c>
      <c r="E479" s="127">
        <v>0</v>
      </c>
      <c r="F479" s="138">
        <v>0</v>
      </c>
      <c r="G479" s="197" t="s">
        <v>132</v>
      </c>
      <c r="H479" s="157" t="s">
        <v>132</v>
      </c>
      <c r="I479" s="197" t="s">
        <v>132</v>
      </c>
      <c r="J479" s="157" t="s">
        <v>132</v>
      </c>
      <c r="K479" s="355">
        <f>4/12</f>
        <v>0.33333333333333331</v>
      </c>
      <c r="L479" s="157">
        <v>0</v>
      </c>
      <c r="M479" s="136"/>
    </row>
    <row r="480" spans="1:13">
      <c r="A480" s="93"/>
      <c r="B480" s="83"/>
      <c r="C480" s="65" t="s">
        <v>45</v>
      </c>
      <c r="D480" s="66">
        <f>SUM(D478:D479)</f>
        <v>20000000</v>
      </c>
      <c r="E480" s="66">
        <f>SUM(E478:E479)</f>
        <v>0</v>
      </c>
      <c r="F480" s="66">
        <f t="shared" ref="F480" si="173">SUM(F478:F479)</f>
        <v>0</v>
      </c>
      <c r="G480" s="122" t="s">
        <v>132</v>
      </c>
      <c r="H480" s="66" t="s">
        <v>132</v>
      </c>
      <c r="I480" s="122" t="s">
        <v>132</v>
      </c>
      <c r="J480" s="66" t="s">
        <v>132</v>
      </c>
      <c r="K480" s="350">
        <f>4/12</f>
        <v>0.33333333333333331</v>
      </c>
      <c r="L480" s="66">
        <f t="shared" ref="L480" si="174">SUM(L478:L479)</f>
        <v>0</v>
      </c>
      <c r="M480" s="66"/>
    </row>
    <row r="481" spans="1:13">
      <c r="A481" s="84">
        <v>18</v>
      </c>
      <c r="B481" s="75" t="s">
        <v>82</v>
      </c>
      <c r="C481" s="76"/>
      <c r="D481" s="57"/>
      <c r="E481" s="119"/>
      <c r="F481" s="131"/>
      <c r="G481" s="119"/>
      <c r="H481" s="152"/>
      <c r="I481" s="119"/>
      <c r="J481" s="152"/>
      <c r="K481" s="152"/>
      <c r="L481" s="152"/>
      <c r="M481" s="131"/>
    </row>
    <row r="482" spans="1:13" ht="26.25">
      <c r="A482" s="84"/>
      <c r="B482" s="94" t="s">
        <v>29</v>
      </c>
      <c r="C482" s="48" t="s">
        <v>92</v>
      </c>
      <c r="D482" s="60">
        <v>7500000</v>
      </c>
      <c r="E482" s="120">
        <v>0</v>
      </c>
      <c r="F482" s="132">
        <v>0</v>
      </c>
      <c r="G482" s="199">
        <v>7500000</v>
      </c>
      <c r="H482" s="301">
        <f>G482/D482*100</f>
        <v>100</v>
      </c>
      <c r="I482" s="192">
        <f>G482</f>
        <v>7500000</v>
      </c>
      <c r="J482" s="301">
        <f t="shared" ref="J482" si="175">I482/D482*100</f>
        <v>100</v>
      </c>
      <c r="K482" s="339">
        <v>0.33333333333333331</v>
      </c>
      <c r="L482" s="311">
        <f>J482</f>
        <v>100</v>
      </c>
      <c r="M482" s="131"/>
    </row>
    <row r="483" spans="1:13" ht="26.25">
      <c r="A483" s="84"/>
      <c r="B483" s="94" t="s">
        <v>83</v>
      </c>
      <c r="C483" s="48" t="s">
        <v>93</v>
      </c>
      <c r="D483" s="62">
        <v>10000000</v>
      </c>
      <c r="E483" s="121">
        <v>0</v>
      </c>
      <c r="F483" s="133">
        <v>0</v>
      </c>
      <c r="G483" s="200">
        <v>10000000</v>
      </c>
      <c r="H483" s="301">
        <f>G483/D483*100</f>
        <v>100</v>
      </c>
      <c r="I483" s="200">
        <f>G483</f>
        <v>10000000</v>
      </c>
      <c r="J483" s="301">
        <f>I483/D483*100</f>
        <v>100</v>
      </c>
      <c r="K483" s="339">
        <v>0.33333333333333331</v>
      </c>
      <c r="L483" s="311">
        <f>J483</f>
        <v>100</v>
      </c>
      <c r="M483" s="131"/>
    </row>
    <row r="484" spans="1:13">
      <c r="A484" s="93"/>
      <c r="B484" s="64"/>
      <c r="C484" s="65" t="s">
        <v>45</v>
      </c>
      <c r="D484" s="66">
        <f>SUM(D482:D483)</f>
        <v>17500000</v>
      </c>
      <c r="E484" s="66">
        <f t="shared" ref="E484:F484" si="176">SUM(E482:E483)</f>
        <v>0</v>
      </c>
      <c r="F484" s="66">
        <f t="shared" si="176"/>
        <v>0</v>
      </c>
      <c r="G484" s="122">
        <f>SUM(G482:G483)</f>
        <v>17500000</v>
      </c>
      <c r="H484" s="302">
        <f>G484/D484*100</f>
        <v>100</v>
      </c>
      <c r="I484" s="122">
        <f t="shared" ref="I484" si="177">SUM(I482:I483)</f>
        <v>17500000</v>
      </c>
      <c r="J484" s="302">
        <f>I484/D484*100</f>
        <v>100</v>
      </c>
      <c r="K484" s="333">
        <f>4/12</f>
        <v>0.33333333333333331</v>
      </c>
      <c r="L484" s="302">
        <f>SUM(L483:L483)</f>
        <v>100</v>
      </c>
      <c r="M484" s="66"/>
    </row>
    <row r="485" spans="1:13">
      <c r="A485" s="99">
        <v>26</v>
      </c>
      <c r="B485" s="104" t="s">
        <v>105</v>
      </c>
      <c r="C485" s="105"/>
      <c r="D485" s="57"/>
      <c r="E485" s="119"/>
      <c r="F485" s="131"/>
      <c r="G485" s="119"/>
      <c r="H485" s="152"/>
      <c r="I485" s="119"/>
      <c r="J485" s="152"/>
      <c r="K485" s="152"/>
      <c r="L485" s="152"/>
      <c r="M485" s="131"/>
    </row>
    <row r="486" spans="1:13">
      <c r="A486" s="44"/>
      <c r="B486" s="47" t="s">
        <v>84</v>
      </c>
      <c r="C486" s="48" t="s">
        <v>106</v>
      </c>
      <c r="D486" s="60">
        <v>5000000</v>
      </c>
      <c r="E486" s="120" t="s">
        <v>132</v>
      </c>
      <c r="F486" s="132">
        <v>0</v>
      </c>
      <c r="G486" s="120" t="s">
        <v>132</v>
      </c>
      <c r="H486" s="59" t="s">
        <v>132</v>
      </c>
      <c r="I486" s="120">
        <v>0</v>
      </c>
      <c r="J486" s="59" t="s">
        <v>132</v>
      </c>
      <c r="K486" s="157">
        <v>0</v>
      </c>
      <c r="L486" s="59">
        <v>0</v>
      </c>
      <c r="M486" s="132"/>
    </row>
    <row r="487" spans="1:13">
      <c r="A487" s="63"/>
      <c r="B487" s="64"/>
      <c r="C487" s="65" t="s">
        <v>45</v>
      </c>
      <c r="D487" s="66">
        <f>SUM(D486)</f>
        <v>5000000</v>
      </c>
      <c r="E487" s="66">
        <v>0</v>
      </c>
      <c r="F487" s="66">
        <f t="shared" ref="F487" si="178">SUM(F484:F486)</f>
        <v>0</v>
      </c>
      <c r="G487" s="122" t="s">
        <v>132</v>
      </c>
      <c r="H487" s="66" t="s">
        <v>132</v>
      </c>
      <c r="I487" s="122" t="s">
        <v>132</v>
      </c>
      <c r="J487" s="66" t="s">
        <v>132</v>
      </c>
      <c r="K487" s="66">
        <f>SUM(K486)</f>
        <v>0</v>
      </c>
      <c r="L487" s="66">
        <v>0</v>
      </c>
      <c r="M487" s="66"/>
    </row>
    <row r="488" spans="1:13">
      <c r="A488" s="99">
        <v>16</v>
      </c>
      <c r="B488" s="104" t="s">
        <v>123</v>
      </c>
      <c r="C488" s="105"/>
      <c r="D488" s="57"/>
      <c r="E488" s="119"/>
      <c r="F488" s="131"/>
      <c r="G488" s="119"/>
      <c r="H488" s="152"/>
      <c r="I488" s="119"/>
      <c r="J488" s="152"/>
      <c r="K488" s="152"/>
      <c r="L488" s="152"/>
      <c r="M488" s="131"/>
    </row>
    <row r="489" spans="1:13">
      <c r="A489" s="84"/>
      <c r="B489" s="185" t="s">
        <v>124</v>
      </c>
      <c r="C489" s="186"/>
      <c r="D489" s="182"/>
      <c r="E489" s="124"/>
      <c r="F489" s="131"/>
      <c r="G489" s="131"/>
      <c r="H489" s="152"/>
      <c r="I489" s="131"/>
      <c r="J489" s="152"/>
      <c r="K489" s="152"/>
      <c r="L489" s="152"/>
      <c r="M489" s="152"/>
    </row>
    <row r="490" spans="1:13" ht="26.25">
      <c r="A490" s="44"/>
      <c r="B490" s="282" t="s">
        <v>46</v>
      </c>
      <c r="C490" s="50" t="s">
        <v>217</v>
      </c>
      <c r="D490" s="60">
        <v>27000000</v>
      </c>
      <c r="E490" s="125">
        <v>0</v>
      </c>
      <c r="F490" s="135">
        <v>0</v>
      </c>
      <c r="G490" s="124">
        <v>0</v>
      </c>
      <c r="H490" s="59" t="s">
        <v>132</v>
      </c>
      <c r="I490" s="124">
        <v>0</v>
      </c>
      <c r="J490" s="59" t="s">
        <v>132</v>
      </c>
      <c r="K490" s="59">
        <v>0</v>
      </c>
      <c r="L490" s="59">
        <v>0</v>
      </c>
      <c r="M490" s="59"/>
    </row>
    <row r="491" spans="1:13">
      <c r="A491" s="44"/>
      <c r="B491" s="163" t="s">
        <v>111</v>
      </c>
      <c r="C491" s="204" t="s">
        <v>81</v>
      </c>
      <c r="D491" s="205">
        <v>3000000</v>
      </c>
      <c r="E491" s="125">
        <v>0</v>
      </c>
      <c r="F491" s="135">
        <v>0</v>
      </c>
      <c r="G491" s="201" t="s">
        <v>132</v>
      </c>
      <c r="H491" s="187" t="s">
        <v>132</v>
      </c>
      <c r="I491" s="201" t="s">
        <v>132</v>
      </c>
      <c r="J491" s="187" t="s">
        <v>132</v>
      </c>
      <c r="K491" s="212">
        <v>0</v>
      </c>
      <c r="L491" s="187"/>
      <c r="M491" s="188"/>
    </row>
    <row r="492" spans="1:13">
      <c r="A492" s="63"/>
      <c r="B492" s="64"/>
      <c r="C492" s="65" t="s">
        <v>45</v>
      </c>
      <c r="D492" s="66">
        <f>SUM(D490:D491)</f>
        <v>30000000</v>
      </c>
      <c r="E492" s="66">
        <f>SUM(E490:E491)</f>
        <v>0</v>
      </c>
      <c r="F492" s="66">
        <f>SUM(F490:F491)</f>
        <v>0</v>
      </c>
      <c r="G492" s="122" t="s">
        <v>132</v>
      </c>
      <c r="H492" s="66" t="s">
        <v>132</v>
      </c>
      <c r="I492" s="122">
        <f>SUM(I490:I491)</f>
        <v>0</v>
      </c>
      <c r="J492" s="66" t="s">
        <v>132</v>
      </c>
      <c r="K492" s="66">
        <f>SUM(K490:K491)</f>
        <v>0</v>
      </c>
      <c r="L492" s="66">
        <f>SUM(L490:L491)</f>
        <v>0</v>
      </c>
      <c r="M492" s="66"/>
    </row>
    <row r="493" spans="1:13">
      <c r="A493" s="99">
        <v>17</v>
      </c>
      <c r="B493" s="104" t="s">
        <v>127</v>
      </c>
      <c r="C493" s="105"/>
      <c r="D493" s="57"/>
      <c r="E493" s="119"/>
      <c r="F493" s="131"/>
      <c r="G493" s="119"/>
      <c r="H493" s="152"/>
      <c r="I493" s="119"/>
      <c r="J493" s="152"/>
      <c r="K493" s="152"/>
      <c r="L493" s="152"/>
      <c r="M493" s="131"/>
    </row>
    <row r="494" spans="1:13" ht="26.25">
      <c r="A494" s="44"/>
      <c r="B494" s="47" t="s">
        <v>84</v>
      </c>
      <c r="C494" s="48" t="s">
        <v>128</v>
      </c>
      <c r="D494" s="60">
        <v>10000000</v>
      </c>
      <c r="E494" s="120">
        <v>0</v>
      </c>
      <c r="F494" s="132">
        <v>0</v>
      </c>
      <c r="G494" s="120" t="s">
        <v>132</v>
      </c>
      <c r="H494" s="59" t="s">
        <v>132</v>
      </c>
      <c r="I494" s="120">
        <v>0</v>
      </c>
      <c r="J494" s="59" t="s">
        <v>132</v>
      </c>
      <c r="K494" s="157">
        <v>0</v>
      </c>
      <c r="L494" s="59">
        <v>0</v>
      </c>
      <c r="M494" s="132"/>
    </row>
    <row r="495" spans="1:13">
      <c r="A495" s="63"/>
      <c r="B495" s="64"/>
      <c r="C495" s="65" t="s">
        <v>45</v>
      </c>
      <c r="D495" s="66">
        <f>SUM(D494)</f>
        <v>10000000</v>
      </c>
      <c r="E495" s="66">
        <f t="shared" ref="E495:F495" si="179">SUM(E492:E494)</f>
        <v>0</v>
      </c>
      <c r="F495" s="66">
        <f t="shared" si="179"/>
        <v>0</v>
      </c>
      <c r="G495" s="122" t="s">
        <v>132</v>
      </c>
      <c r="H495" s="66" t="s">
        <v>132</v>
      </c>
      <c r="I495" s="122" t="s">
        <v>132</v>
      </c>
      <c r="J495" s="66" t="s">
        <v>132</v>
      </c>
      <c r="K495" s="66">
        <f>SUM(K494)</f>
        <v>0</v>
      </c>
      <c r="L495" s="66">
        <v>0</v>
      </c>
      <c r="M495" s="66"/>
    </row>
    <row r="496" spans="1:13">
      <c r="A496" s="44">
        <v>18</v>
      </c>
      <c r="B496" s="104" t="s">
        <v>218</v>
      </c>
      <c r="C496" s="105"/>
      <c r="D496" s="70"/>
      <c r="E496" s="70"/>
      <c r="F496" s="70"/>
      <c r="G496" s="287"/>
      <c r="H496" s="70"/>
      <c r="I496" s="287"/>
      <c r="J496" s="70"/>
      <c r="K496" s="70"/>
      <c r="L496" s="70"/>
      <c r="M496" s="70"/>
    </row>
    <row r="497" spans="1:13" ht="25.5">
      <c r="A497" s="44"/>
      <c r="B497" s="283" t="s">
        <v>83</v>
      </c>
      <c r="C497" s="284" t="s">
        <v>219</v>
      </c>
      <c r="D497" s="288">
        <v>50000000</v>
      </c>
      <c r="E497" s="285">
        <v>0</v>
      </c>
      <c r="F497" s="285">
        <v>0</v>
      </c>
      <c r="G497" s="286">
        <v>0</v>
      </c>
      <c r="H497" s="285">
        <v>0</v>
      </c>
      <c r="I497" s="286">
        <v>0</v>
      </c>
      <c r="J497" s="285">
        <v>0</v>
      </c>
      <c r="K497" s="157">
        <v>0</v>
      </c>
      <c r="L497" s="285">
        <v>0</v>
      </c>
      <c r="M497" s="285"/>
    </row>
    <row r="498" spans="1:13">
      <c r="A498" s="63"/>
      <c r="B498" s="64"/>
      <c r="C498" s="65" t="s">
        <v>45</v>
      </c>
      <c r="D498" s="66">
        <f>SUM(D497)</f>
        <v>50000000</v>
      </c>
      <c r="E498" s="66">
        <v>0</v>
      </c>
      <c r="F498" s="66">
        <v>0</v>
      </c>
      <c r="G498" s="122">
        <v>0</v>
      </c>
      <c r="H498" s="66">
        <v>0</v>
      </c>
      <c r="I498" s="122">
        <v>0</v>
      </c>
      <c r="J498" s="66">
        <v>0</v>
      </c>
      <c r="K498" s="66">
        <f>SUM(K497)</f>
        <v>0</v>
      </c>
      <c r="L498" s="66">
        <v>0</v>
      </c>
      <c r="M498" s="66"/>
    </row>
    <row r="499" spans="1:13">
      <c r="A499" s="44">
        <v>24</v>
      </c>
      <c r="B499" s="104" t="s">
        <v>221</v>
      </c>
      <c r="C499" s="105"/>
      <c r="D499" s="70"/>
      <c r="E499" s="70"/>
      <c r="F499" s="70"/>
      <c r="G499" s="287"/>
      <c r="H499" s="70"/>
      <c r="I499" s="287"/>
      <c r="J499" s="70"/>
      <c r="K499" s="70"/>
      <c r="L499" s="70"/>
      <c r="M499" s="70"/>
    </row>
    <row r="500" spans="1:13">
      <c r="A500" s="44"/>
      <c r="B500" s="283" t="s">
        <v>83</v>
      </c>
      <c r="C500" s="284" t="s">
        <v>222</v>
      </c>
      <c r="D500" s="288">
        <v>50000000</v>
      </c>
      <c r="E500" s="285">
        <v>0</v>
      </c>
      <c r="F500" s="285">
        <v>0</v>
      </c>
      <c r="G500" s="286">
        <v>0</v>
      </c>
      <c r="H500" s="285">
        <v>0</v>
      </c>
      <c r="I500" s="286">
        <v>0</v>
      </c>
      <c r="J500" s="285">
        <v>0</v>
      </c>
      <c r="K500" s="157">
        <v>0</v>
      </c>
      <c r="L500" s="285">
        <v>0</v>
      </c>
      <c r="M500" s="285"/>
    </row>
    <row r="501" spans="1:13">
      <c r="A501" s="63"/>
      <c r="B501" s="64"/>
      <c r="C501" s="65" t="s">
        <v>45</v>
      </c>
      <c r="D501" s="66">
        <f>SUM(D500)</f>
        <v>50000000</v>
      </c>
      <c r="E501" s="66">
        <v>0</v>
      </c>
      <c r="F501" s="66">
        <v>0</v>
      </c>
      <c r="G501" s="122">
        <v>0</v>
      </c>
      <c r="H501" s="66">
        <v>0</v>
      </c>
      <c r="I501" s="122">
        <v>0</v>
      </c>
      <c r="J501" s="66">
        <v>0</v>
      </c>
      <c r="K501" s="66">
        <f>SUM(K500)</f>
        <v>0</v>
      </c>
      <c r="L501" s="66">
        <v>0</v>
      </c>
      <c r="M501" s="66"/>
    </row>
    <row r="502" spans="1:13" ht="15.75" thickBot="1">
      <c r="A502" s="166"/>
      <c r="B502" s="167" t="s">
        <v>85</v>
      </c>
      <c r="C502" s="106"/>
      <c r="D502" s="107">
        <f>D396+D393</f>
        <v>3251325000</v>
      </c>
      <c r="E502" s="107">
        <f>E396+E393</f>
        <v>0</v>
      </c>
      <c r="F502" s="107">
        <f>F396+F393</f>
        <v>0</v>
      </c>
      <c r="G502" s="107">
        <f>G393+G396</f>
        <v>771059157</v>
      </c>
      <c r="H502" s="213">
        <f>G502/D502*100</f>
        <v>23.715228622177111</v>
      </c>
      <c r="I502" s="107">
        <f>I396+I393</f>
        <v>771059157</v>
      </c>
      <c r="J502" s="213">
        <f>I502/D502*100</f>
        <v>23.715228622177111</v>
      </c>
      <c r="K502" s="337">
        <f>4/12</f>
        <v>0.33333333333333331</v>
      </c>
      <c r="L502" s="213">
        <f>J502</f>
        <v>23.715228622177111</v>
      </c>
      <c r="M502" s="158"/>
    </row>
    <row r="503" spans="1:13" ht="15.75" thickTop="1">
      <c r="A503" s="342"/>
      <c r="B503" s="343"/>
      <c r="C503" s="344"/>
      <c r="D503" s="345"/>
      <c r="E503" s="345"/>
      <c r="F503" s="345"/>
      <c r="G503" s="345"/>
      <c r="H503" s="346"/>
      <c r="I503" s="345"/>
      <c r="J503" s="346"/>
      <c r="K503" s="347"/>
      <c r="L503" s="346"/>
      <c r="M503" s="348"/>
    </row>
    <row r="504" spans="1:13">
      <c r="A504" s="168"/>
      <c r="B504" s="169"/>
      <c r="C504" s="170"/>
      <c r="D504" s="171"/>
      <c r="E504" s="108"/>
      <c r="H504" s="128"/>
      <c r="I504" s="159" t="s">
        <v>235</v>
      </c>
      <c r="J504" s="128"/>
      <c r="L504" s="128"/>
      <c r="M504" s="128"/>
    </row>
    <row r="505" spans="1:13">
      <c r="A505" s="172"/>
      <c r="B505" s="169"/>
      <c r="C505" s="173"/>
      <c r="D505" s="171"/>
      <c r="E505" s="174"/>
      <c r="H505" s="128"/>
      <c r="I505" s="159" t="s">
        <v>86</v>
      </c>
      <c r="J505" s="128"/>
      <c r="L505" s="128"/>
      <c r="M505" s="128"/>
    </row>
    <row r="506" spans="1:13">
      <c r="A506" s="172"/>
      <c r="B506" s="169"/>
      <c r="C506" s="173"/>
      <c r="D506" s="171"/>
      <c r="E506" s="174"/>
      <c r="H506" s="128"/>
      <c r="I506" s="159"/>
      <c r="J506" s="128"/>
      <c r="L506" s="128"/>
      <c r="M506" s="128"/>
    </row>
    <row r="507" spans="1:13">
      <c r="A507" s="172"/>
      <c r="B507" s="169"/>
      <c r="C507" s="173"/>
      <c r="D507" s="171"/>
      <c r="E507" s="108"/>
      <c r="H507" s="128"/>
      <c r="I507" s="159"/>
      <c r="J507" s="128"/>
      <c r="L507" s="128"/>
      <c r="M507" s="128"/>
    </row>
    <row r="508" spans="1:13">
      <c r="A508" s="175"/>
      <c r="B508" s="176"/>
      <c r="C508" s="177"/>
      <c r="D508" s="171"/>
      <c r="E508" s="108"/>
      <c r="G508" s="128" t="s">
        <v>227</v>
      </c>
      <c r="H508" s="128"/>
      <c r="I508" s="160" t="s">
        <v>120</v>
      </c>
      <c r="J508" s="128"/>
      <c r="L508" s="128"/>
      <c r="M508" s="128"/>
    </row>
    <row r="509" spans="1:13">
      <c r="A509" s="175"/>
      <c r="B509" s="176"/>
      <c r="C509" s="177"/>
      <c r="D509" s="175"/>
      <c r="E509" s="108"/>
      <c r="H509" s="128"/>
      <c r="I509" s="159" t="s">
        <v>108</v>
      </c>
      <c r="J509" s="128"/>
      <c r="L509" s="128"/>
      <c r="M509" s="128"/>
    </row>
    <row r="510" spans="1:13">
      <c r="A510" s="175"/>
      <c r="B510" s="176"/>
      <c r="C510" s="177"/>
      <c r="D510" s="175"/>
      <c r="E510" s="108"/>
      <c r="H510" s="128"/>
      <c r="I510" s="159" t="s">
        <v>121</v>
      </c>
      <c r="J510" s="128"/>
      <c r="L510" s="128"/>
      <c r="M510" s="128"/>
    </row>
    <row r="511" spans="1:13" ht="15.75">
      <c r="A511" s="832" t="s">
        <v>223</v>
      </c>
      <c r="B511" s="832"/>
      <c r="C511" s="832"/>
      <c r="D511" s="832"/>
      <c r="E511" s="832"/>
      <c r="F511" s="832"/>
      <c r="G511" s="832"/>
      <c r="H511" s="832"/>
      <c r="I511" s="832"/>
      <c r="J511" s="832"/>
      <c r="K511" s="832"/>
      <c r="L511" s="832"/>
      <c r="M511" s="832"/>
    </row>
    <row r="512" spans="1:13" ht="15.75">
      <c r="A512" s="832" t="s">
        <v>224</v>
      </c>
      <c r="B512" s="832"/>
      <c r="C512" s="832"/>
      <c r="D512" s="832"/>
      <c r="E512" s="832"/>
      <c r="F512" s="832"/>
      <c r="G512" s="832"/>
      <c r="H512" s="832"/>
      <c r="I512" s="832"/>
      <c r="J512" s="832"/>
      <c r="K512" s="832"/>
      <c r="L512" s="832"/>
      <c r="M512" s="832"/>
    </row>
    <row r="513" spans="1:13" ht="15.75">
      <c r="A513" s="353"/>
      <c r="B513" s="353"/>
      <c r="C513" s="353"/>
      <c r="D513" s="353"/>
      <c r="E513" s="353"/>
      <c r="F513" s="353"/>
      <c r="G513" s="303"/>
      <c r="H513" s="353"/>
      <c r="I513" s="353"/>
      <c r="J513" s="353"/>
      <c r="K513" s="303"/>
      <c r="L513" s="353"/>
      <c r="M513" s="353"/>
    </row>
    <row r="514" spans="1:13" ht="16.5">
      <c r="A514" s="1" t="s">
        <v>213</v>
      </c>
      <c r="B514" s="2"/>
      <c r="C514" s="3" t="s">
        <v>2</v>
      </c>
      <c r="E514" s="108"/>
      <c r="G514" s="304"/>
      <c r="H514" s="4"/>
      <c r="I514" s="5"/>
      <c r="J514" s="4"/>
      <c r="M514" s="4"/>
    </row>
    <row r="515" spans="1:13" ht="17.25" thickBot="1">
      <c r="A515" s="14" t="s">
        <v>225</v>
      </c>
      <c r="B515" s="14"/>
      <c r="C515" s="292" t="s">
        <v>302</v>
      </c>
      <c r="D515" s="129"/>
      <c r="E515" s="109"/>
      <c r="F515" s="129"/>
      <c r="G515" s="305"/>
      <c r="H515" s="14"/>
      <c r="I515" s="16"/>
      <c r="J515" s="14"/>
      <c r="K515" s="129"/>
      <c r="L515" s="15"/>
      <c r="M515" s="14"/>
    </row>
    <row r="516" spans="1:13" ht="15.75" thickTop="1">
      <c r="A516" s="833" t="s">
        <v>3</v>
      </c>
      <c r="B516" s="836" t="s">
        <v>4</v>
      </c>
      <c r="C516" s="837"/>
      <c r="D516" s="289" t="s">
        <v>5</v>
      </c>
      <c r="E516" s="110" t="s">
        <v>6</v>
      </c>
      <c r="F516" s="130"/>
      <c r="G516" s="842" t="s">
        <v>7</v>
      </c>
      <c r="H516" s="843"/>
      <c r="I516" s="843"/>
      <c r="J516" s="843"/>
      <c r="K516" s="844" t="s">
        <v>8</v>
      </c>
      <c r="L516" s="844"/>
      <c r="M516" s="833" t="s">
        <v>9</v>
      </c>
    </row>
    <row r="517" spans="1:13">
      <c r="A517" s="834"/>
      <c r="B517" s="838"/>
      <c r="C517" s="839"/>
      <c r="D517" s="290" t="s">
        <v>10</v>
      </c>
      <c r="E517" s="111" t="s">
        <v>11</v>
      </c>
      <c r="F517" s="111" t="s">
        <v>12</v>
      </c>
      <c r="G517" s="111" t="s">
        <v>13</v>
      </c>
      <c r="H517" s="845" t="s">
        <v>14</v>
      </c>
      <c r="I517" s="6" t="s">
        <v>15</v>
      </c>
      <c r="J517" s="846" t="s">
        <v>14</v>
      </c>
      <c r="K517" s="321" t="s">
        <v>16</v>
      </c>
      <c r="L517" s="7" t="s">
        <v>17</v>
      </c>
      <c r="M517" s="834"/>
    </row>
    <row r="518" spans="1:13">
      <c r="A518" s="835"/>
      <c r="B518" s="840"/>
      <c r="C518" s="841"/>
      <c r="D518" s="291" t="s">
        <v>18</v>
      </c>
      <c r="E518" s="112" t="s">
        <v>18</v>
      </c>
      <c r="F518" s="112"/>
      <c r="G518" s="306" t="s">
        <v>19</v>
      </c>
      <c r="H518" s="835"/>
      <c r="I518" s="8" t="s">
        <v>19</v>
      </c>
      <c r="J518" s="847"/>
      <c r="K518" s="322" t="s">
        <v>233</v>
      </c>
      <c r="L518" s="9" t="s">
        <v>233</v>
      </c>
      <c r="M518" s="835"/>
    </row>
    <row r="519" spans="1:13" ht="15.75" thickBot="1">
      <c r="A519" s="17">
        <v>1</v>
      </c>
      <c r="B519" s="828">
        <v>2</v>
      </c>
      <c r="C519" s="829"/>
      <c r="D519" s="113">
        <v>3</v>
      </c>
      <c r="E519" s="113">
        <v>4</v>
      </c>
      <c r="F519" s="113">
        <v>5</v>
      </c>
      <c r="G519" s="113">
        <v>6</v>
      </c>
      <c r="H519" s="18">
        <v>7</v>
      </c>
      <c r="I519" s="18">
        <v>8</v>
      </c>
      <c r="J519" s="18">
        <v>9</v>
      </c>
      <c r="K519" s="113">
        <v>10</v>
      </c>
      <c r="L519" s="18">
        <v>11</v>
      </c>
      <c r="M519" s="18">
        <v>12</v>
      </c>
    </row>
    <row r="520" spans="1:13" ht="15.75" thickBot="1">
      <c r="A520" s="35" t="s">
        <v>20</v>
      </c>
      <c r="B520" s="36" t="s">
        <v>21</v>
      </c>
      <c r="C520" s="37"/>
      <c r="D520" s="30">
        <f>D521+D522</f>
        <v>2257113000</v>
      </c>
      <c r="E520" s="30">
        <f>E521</f>
        <v>0</v>
      </c>
      <c r="F520" s="30">
        <v>0</v>
      </c>
      <c r="G520" s="30">
        <f>G521+G522</f>
        <v>691984494</v>
      </c>
      <c r="H520" s="214">
        <f>G520/D520*100</f>
        <v>30.657946412075958</v>
      </c>
      <c r="I520" s="30">
        <f>G520</f>
        <v>691984494</v>
      </c>
      <c r="J520" s="217">
        <f>I520/D520*100</f>
        <v>30.657946412075958</v>
      </c>
      <c r="K520" s="332">
        <f>5/12</f>
        <v>0.41666666666666669</v>
      </c>
      <c r="L520" s="215">
        <f>J520</f>
        <v>30.657946412075958</v>
      </c>
      <c r="M520" s="53"/>
    </row>
    <row r="521" spans="1:13" ht="15.75" thickBot="1">
      <c r="A521" s="38" t="s">
        <v>22</v>
      </c>
      <c r="B521" s="39" t="s">
        <v>23</v>
      </c>
      <c r="C521" s="40"/>
      <c r="D521" s="31">
        <v>1872153000</v>
      </c>
      <c r="E521" s="114">
        <v>0</v>
      </c>
      <c r="F521" s="30">
        <v>0</v>
      </c>
      <c r="G521" s="30">
        <v>589234494</v>
      </c>
      <c r="H521" s="214">
        <f>G521/D521*100</f>
        <v>31.473629238635947</v>
      </c>
      <c r="I521" s="296">
        <f>G521</f>
        <v>589234494</v>
      </c>
      <c r="J521" s="217">
        <f>I521/D521*100</f>
        <v>31.473629238635947</v>
      </c>
      <c r="K521" s="332">
        <f t="shared" ref="K521:K523" si="180">5/12</f>
        <v>0.41666666666666669</v>
      </c>
      <c r="L521" s="215">
        <f>J521</f>
        <v>31.473629238635947</v>
      </c>
      <c r="M521" s="146"/>
    </row>
    <row r="522" spans="1:13" ht="15.75" thickBot="1">
      <c r="A522" s="139"/>
      <c r="B522" s="140" t="s">
        <v>107</v>
      </c>
      <c r="C522" s="141"/>
      <c r="D522" s="31">
        <v>384960000</v>
      </c>
      <c r="E522" s="114">
        <v>0</v>
      </c>
      <c r="F522" s="30">
        <v>0</v>
      </c>
      <c r="G522" s="351">
        <v>102750000</v>
      </c>
      <c r="H522" s="214">
        <f>G522/D522*100</f>
        <v>26.691084788029922</v>
      </c>
      <c r="I522" s="296">
        <f>G522</f>
        <v>102750000</v>
      </c>
      <c r="J522" s="217">
        <f>I522/D522*100</f>
        <v>26.691084788029922</v>
      </c>
      <c r="K522" s="332">
        <f t="shared" si="180"/>
        <v>0.41666666666666669</v>
      </c>
      <c r="L522" s="215">
        <f>J522</f>
        <v>26.691084788029922</v>
      </c>
      <c r="M522" s="149"/>
    </row>
    <row r="523" spans="1:13" ht="15.75" thickBot="1">
      <c r="A523" s="35" t="s">
        <v>24</v>
      </c>
      <c r="B523" s="36" t="s">
        <v>25</v>
      </c>
      <c r="C523" s="37"/>
      <c r="D523" s="30">
        <f>D540+D550+D553+D557+D560+D563+D569+D572+D576+D579+D583+D586+D589+D592+D596+D599+D602+D607+D611+D614+D619+D622+D625+D628</f>
        <v>994212000</v>
      </c>
      <c r="E523" s="30">
        <v>0</v>
      </c>
      <c r="F523" s="30">
        <v>0</v>
      </c>
      <c r="G523" s="30">
        <f>G540+G550+G579+G583+G599+G602+G589+G592+G596+G611+G563+G576+G607+G560</f>
        <v>459983698</v>
      </c>
      <c r="H523" s="215">
        <f>G523/D523*100</f>
        <v>46.266158324381514</v>
      </c>
      <c r="I523" s="296">
        <f>G523</f>
        <v>459983698</v>
      </c>
      <c r="J523" s="217">
        <f>I523/D523*100</f>
        <v>46.266158324381514</v>
      </c>
      <c r="K523" s="332">
        <f t="shared" si="180"/>
        <v>0.41666666666666669</v>
      </c>
      <c r="L523" s="215">
        <f>J523</f>
        <v>46.266158324381514</v>
      </c>
      <c r="M523" s="30"/>
    </row>
    <row r="524" spans="1:13">
      <c r="A524" s="41" t="s">
        <v>26</v>
      </c>
      <c r="B524" s="42" t="s">
        <v>27</v>
      </c>
      <c r="C524" s="43"/>
      <c r="D524" s="32"/>
      <c r="E524" s="115"/>
      <c r="F524" s="32"/>
      <c r="G524" s="150"/>
      <c r="H524" s="151"/>
      <c r="I524" s="191"/>
      <c r="J524" s="150"/>
      <c r="K524" s="32"/>
      <c r="L524" s="32"/>
      <c r="M524" s="32"/>
    </row>
    <row r="525" spans="1:13">
      <c r="A525" s="44"/>
      <c r="B525" s="45" t="s">
        <v>26</v>
      </c>
      <c r="C525" s="46" t="s">
        <v>28</v>
      </c>
      <c r="D525" s="33">
        <v>6000000</v>
      </c>
      <c r="E525" s="116">
        <v>0</v>
      </c>
      <c r="F525" s="131">
        <v>0</v>
      </c>
      <c r="G525" s="192">
        <f>999000+501000+250000</f>
        <v>1750000</v>
      </c>
      <c r="H525" s="299">
        <f>G525/D525*100</f>
        <v>29.166666666666668</v>
      </c>
      <c r="I525" s="192">
        <f>G525</f>
        <v>1750000</v>
      </c>
      <c r="J525" s="301">
        <f>H525</f>
        <v>29.166666666666668</v>
      </c>
      <c r="K525" s="331">
        <f>5/12</f>
        <v>0.41666666666666669</v>
      </c>
      <c r="L525" s="311">
        <f>J525</f>
        <v>29.166666666666668</v>
      </c>
      <c r="M525" s="131"/>
    </row>
    <row r="526" spans="1:13">
      <c r="A526" s="44"/>
      <c r="B526" s="47" t="s">
        <v>29</v>
      </c>
      <c r="C526" s="48" t="s">
        <v>30</v>
      </c>
      <c r="D526" s="34">
        <v>8000000</v>
      </c>
      <c r="E526" s="297">
        <v>0</v>
      </c>
      <c r="F526" s="132">
        <v>0</v>
      </c>
      <c r="G526" s="192">
        <v>1310678</v>
      </c>
      <c r="H526" s="299">
        <f t="shared" ref="H526:H539" si="181">G526/D526*100</f>
        <v>16.383475000000001</v>
      </c>
      <c r="I526" s="192">
        <f>G526</f>
        <v>1310678</v>
      </c>
      <c r="J526" s="301">
        <f>I526/D526*100</f>
        <v>16.383475000000001</v>
      </c>
      <c r="K526" s="331">
        <f t="shared" ref="K526:K539" si="182">5/12</f>
        <v>0.41666666666666669</v>
      </c>
      <c r="L526" s="311">
        <f t="shared" ref="L526:L539" si="183">J526</f>
        <v>16.383475000000001</v>
      </c>
      <c r="M526" s="132"/>
    </row>
    <row r="527" spans="1:13">
      <c r="A527" s="44"/>
      <c r="B527" s="47" t="s">
        <v>29</v>
      </c>
      <c r="C527" s="48" t="s">
        <v>31</v>
      </c>
      <c r="D527" s="34">
        <v>5000000</v>
      </c>
      <c r="E527" s="297">
        <v>0</v>
      </c>
      <c r="F527" s="132">
        <v>0</v>
      </c>
      <c r="G527" s="192">
        <v>1618600</v>
      </c>
      <c r="H527" s="299">
        <f t="shared" si="181"/>
        <v>32.372</v>
      </c>
      <c r="I527" s="192">
        <f t="shared" ref="I527:I528" si="184">G527</f>
        <v>1618600</v>
      </c>
      <c r="J527" s="301">
        <f t="shared" ref="J527:J536" si="185">I527/D527*100</f>
        <v>32.372</v>
      </c>
      <c r="K527" s="331">
        <f t="shared" si="182"/>
        <v>0.41666666666666669</v>
      </c>
      <c r="L527" s="311">
        <f t="shared" si="183"/>
        <v>32.372</v>
      </c>
      <c r="M527" s="132"/>
    </row>
    <row r="528" spans="1:13">
      <c r="A528" s="44"/>
      <c r="B528" s="47" t="s">
        <v>29</v>
      </c>
      <c r="C528" s="48" t="s">
        <v>32</v>
      </c>
      <c r="D528" s="34">
        <v>12000000</v>
      </c>
      <c r="E528" s="297">
        <v>0</v>
      </c>
      <c r="F528" s="132">
        <v>0</v>
      </c>
      <c r="G528" s="192">
        <v>3204120</v>
      </c>
      <c r="H528" s="299">
        <f t="shared" si="181"/>
        <v>26.701000000000004</v>
      </c>
      <c r="I528" s="192">
        <f t="shared" si="184"/>
        <v>3204120</v>
      </c>
      <c r="J528" s="301">
        <f t="shared" si="185"/>
        <v>26.701000000000004</v>
      </c>
      <c r="K528" s="331">
        <f t="shared" si="182"/>
        <v>0.41666666666666669</v>
      </c>
      <c r="L528" s="311">
        <f t="shared" si="183"/>
        <v>26.701000000000004</v>
      </c>
      <c r="M528" s="132"/>
    </row>
    <row r="529" spans="1:13">
      <c r="A529" s="44"/>
      <c r="B529" s="47" t="s">
        <v>33</v>
      </c>
      <c r="C529" s="48" t="s">
        <v>34</v>
      </c>
      <c r="D529" s="34">
        <v>12105000</v>
      </c>
      <c r="E529" s="117">
        <v>0</v>
      </c>
      <c r="F529" s="132">
        <v>0</v>
      </c>
      <c r="G529" s="192">
        <v>4000000</v>
      </c>
      <c r="H529" s="299">
        <f t="shared" si="181"/>
        <v>33.044196612969841</v>
      </c>
      <c r="I529" s="192">
        <f>G529</f>
        <v>4000000</v>
      </c>
      <c r="J529" s="301">
        <f t="shared" si="185"/>
        <v>33.044196612969841</v>
      </c>
      <c r="K529" s="331">
        <f t="shared" si="182"/>
        <v>0.41666666666666669</v>
      </c>
      <c r="L529" s="311">
        <f t="shared" si="183"/>
        <v>33.044196612969841</v>
      </c>
      <c r="M529" s="132"/>
    </row>
    <row r="530" spans="1:13">
      <c r="A530" s="44"/>
      <c r="B530" s="47">
        <v>10</v>
      </c>
      <c r="C530" s="48" t="s">
        <v>35</v>
      </c>
      <c r="D530" s="34">
        <v>11895000</v>
      </c>
      <c r="E530" s="117">
        <v>0</v>
      </c>
      <c r="F530" s="132">
        <v>0</v>
      </c>
      <c r="G530" s="192">
        <f>1500000+1000000+1000000</f>
        <v>3500000</v>
      </c>
      <c r="H530" s="299">
        <f t="shared" si="181"/>
        <v>29.424127784783522</v>
      </c>
      <c r="I530" s="192">
        <f t="shared" ref="I530:I533" si="186">G530</f>
        <v>3500000</v>
      </c>
      <c r="J530" s="301">
        <f t="shared" si="185"/>
        <v>29.424127784783522</v>
      </c>
      <c r="K530" s="331">
        <f t="shared" si="182"/>
        <v>0.41666666666666669</v>
      </c>
      <c r="L530" s="311">
        <f t="shared" si="183"/>
        <v>29.424127784783522</v>
      </c>
      <c r="M530" s="132"/>
    </row>
    <row r="531" spans="1:13">
      <c r="A531" s="44"/>
      <c r="B531" s="47">
        <v>11</v>
      </c>
      <c r="C531" s="48" t="s">
        <v>36</v>
      </c>
      <c r="D531" s="34">
        <v>6000000</v>
      </c>
      <c r="E531" s="117">
        <v>0</v>
      </c>
      <c r="F531" s="132">
        <v>0</v>
      </c>
      <c r="G531" s="192">
        <f>1000000+500000+750000</f>
        <v>2250000</v>
      </c>
      <c r="H531" s="299">
        <f t="shared" si="181"/>
        <v>37.5</v>
      </c>
      <c r="I531" s="192">
        <f t="shared" si="186"/>
        <v>2250000</v>
      </c>
      <c r="J531" s="301">
        <f t="shared" si="185"/>
        <v>37.5</v>
      </c>
      <c r="K531" s="331">
        <f t="shared" si="182"/>
        <v>0.41666666666666669</v>
      </c>
      <c r="L531" s="311">
        <f t="shared" si="183"/>
        <v>37.5</v>
      </c>
      <c r="M531" s="132"/>
    </row>
    <row r="532" spans="1:13">
      <c r="A532" s="44"/>
      <c r="B532" s="47">
        <v>11</v>
      </c>
      <c r="C532" s="48" t="s">
        <v>37</v>
      </c>
      <c r="D532" s="34">
        <v>18000000</v>
      </c>
      <c r="E532" s="117">
        <v>0</v>
      </c>
      <c r="F532" s="132">
        <v>0</v>
      </c>
      <c r="G532" s="192">
        <f>2525600+17850+34600+34000</f>
        <v>2612050</v>
      </c>
      <c r="H532" s="299">
        <f t="shared" si="181"/>
        <v>14.511388888888888</v>
      </c>
      <c r="I532" s="192">
        <f t="shared" si="186"/>
        <v>2612050</v>
      </c>
      <c r="J532" s="301">
        <f t="shared" si="185"/>
        <v>14.511388888888888</v>
      </c>
      <c r="K532" s="331">
        <f t="shared" si="182"/>
        <v>0.41666666666666669</v>
      </c>
      <c r="L532" s="311">
        <f t="shared" si="183"/>
        <v>14.511388888888888</v>
      </c>
      <c r="M532" s="132"/>
    </row>
    <row r="533" spans="1:13">
      <c r="A533" s="44"/>
      <c r="B533" s="47">
        <v>12</v>
      </c>
      <c r="C533" s="48" t="s">
        <v>38</v>
      </c>
      <c r="D533" s="34">
        <v>5000000</v>
      </c>
      <c r="E533" s="117">
        <v>0</v>
      </c>
      <c r="F533" s="132">
        <v>0</v>
      </c>
      <c r="G533" s="192">
        <v>1750000</v>
      </c>
      <c r="H533" s="299">
        <f t="shared" si="181"/>
        <v>35</v>
      </c>
      <c r="I533" s="192">
        <f t="shared" si="186"/>
        <v>1750000</v>
      </c>
      <c r="J533" s="301">
        <f t="shared" si="185"/>
        <v>35</v>
      </c>
      <c r="K533" s="331">
        <f t="shared" si="182"/>
        <v>0.41666666666666669</v>
      </c>
      <c r="L533" s="311">
        <f t="shared" si="183"/>
        <v>35</v>
      </c>
      <c r="M533" s="132"/>
    </row>
    <row r="534" spans="1:13">
      <c r="A534" s="44"/>
      <c r="B534" s="47">
        <v>13</v>
      </c>
      <c r="C534" s="48" t="s">
        <v>39</v>
      </c>
      <c r="D534" s="34">
        <v>5000000</v>
      </c>
      <c r="E534" s="117">
        <v>0</v>
      </c>
      <c r="F534" s="132">
        <v>0</v>
      </c>
      <c r="G534" s="192">
        <f>1000000+250000+500000</f>
        <v>1750000</v>
      </c>
      <c r="H534" s="299">
        <f t="shared" si="181"/>
        <v>35</v>
      </c>
      <c r="I534" s="192">
        <f>G534</f>
        <v>1750000</v>
      </c>
      <c r="J534" s="301">
        <f t="shared" si="185"/>
        <v>35</v>
      </c>
      <c r="K534" s="331">
        <f t="shared" si="182"/>
        <v>0.41666666666666669</v>
      </c>
      <c r="L534" s="311">
        <f t="shared" si="183"/>
        <v>35</v>
      </c>
      <c r="M534" s="132"/>
    </row>
    <row r="535" spans="1:13">
      <c r="A535" s="44"/>
      <c r="B535" s="47">
        <v>15</v>
      </c>
      <c r="C535" s="48" t="s">
        <v>40</v>
      </c>
      <c r="D535" s="34">
        <v>3000000</v>
      </c>
      <c r="E535" s="117">
        <v>0</v>
      </c>
      <c r="F535" s="132">
        <v>0</v>
      </c>
      <c r="G535" s="192">
        <f>260000+140000+260000</f>
        <v>660000</v>
      </c>
      <c r="H535" s="299">
        <f t="shared" si="181"/>
        <v>22</v>
      </c>
      <c r="I535" s="192">
        <f t="shared" ref="I535:I536" si="187">G535</f>
        <v>660000</v>
      </c>
      <c r="J535" s="301">
        <f t="shared" si="185"/>
        <v>22</v>
      </c>
      <c r="K535" s="331">
        <f t="shared" si="182"/>
        <v>0.41666666666666669</v>
      </c>
      <c r="L535" s="311">
        <f t="shared" si="183"/>
        <v>22</v>
      </c>
      <c r="M535" s="132"/>
    </row>
    <row r="536" spans="1:13">
      <c r="A536" s="44"/>
      <c r="B536" s="47">
        <v>17</v>
      </c>
      <c r="C536" s="48" t="s">
        <v>41</v>
      </c>
      <c r="D536" s="34">
        <v>5000000</v>
      </c>
      <c r="E536" s="117">
        <v>0</v>
      </c>
      <c r="F536" s="132">
        <v>0</v>
      </c>
      <c r="G536" s="192">
        <f>1000000+250000+750000</f>
        <v>2000000</v>
      </c>
      <c r="H536" s="299">
        <f t="shared" si="181"/>
        <v>40</v>
      </c>
      <c r="I536" s="192">
        <f t="shared" si="187"/>
        <v>2000000</v>
      </c>
      <c r="J536" s="301">
        <f t="shared" si="185"/>
        <v>40</v>
      </c>
      <c r="K536" s="331">
        <f t="shared" si="182"/>
        <v>0.41666666666666669</v>
      </c>
      <c r="L536" s="311">
        <f t="shared" si="183"/>
        <v>40</v>
      </c>
      <c r="M536" s="132"/>
    </row>
    <row r="537" spans="1:13">
      <c r="A537" s="44"/>
      <c r="B537" s="47">
        <v>17</v>
      </c>
      <c r="C537" s="48" t="s">
        <v>42</v>
      </c>
      <c r="D537" s="34">
        <v>7000000</v>
      </c>
      <c r="E537" s="117">
        <v>0</v>
      </c>
      <c r="F537" s="132">
        <v>0</v>
      </c>
      <c r="G537" s="192">
        <f>1200000+400000+1800000</f>
        <v>3400000</v>
      </c>
      <c r="H537" s="299">
        <f t="shared" si="181"/>
        <v>48.571428571428569</v>
      </c>
      <c r="I537" s="192">
        <f>G537</f>
        <v>3400000</v>
      </c>
      <c r="J537" s="301">
        <f>I537/D537*100</f>
        <v>48.571428571428569</v>
      </c>
      <c r="K537" s="331">
        <f t="shared" si="182"/>
        <v>0.41666666666666669</v>
      </c>
      <c r="L537" s="311">
        <f t="shared" si="183"/>
        <v>48.571428571428569</v>
      </c>
      <c r="M537" s="132"/>
    </row>
    <row r="538" spans="1:13">
      <c r="A538" s="44"/>
      <c r="B538" s="47">
        <v>18</v>
      </c>
      <c r="C538" s="48" t="s">
        <v>43</v>
      </c>
      <c r="D538" s="34">
        <v>15000000</v>
      </c>
      <c r="E538" s="117">
        <v>0</v>
      </c>
      <c r="F538" s="132">
        <v>0</v>
      </c>
      <c r="G538" s="192">
        <f>1450000+375000+1525000+2900000</f>
        <v>6250000</v>
      </c>
      <c r="H538" s="299">
        <f t="shared" si="181"/>
        <v>41.666666666666671</v>
      </c>
      <c r="I538" s="192">
        <f>G538</f>
        <v>6250000</v>
      </c>
      <c r="J538" s="301">
        <f t="shared" ref="J538:J539" si="188">I538/D538*100</f>
        <v>41.666666666666671</v>
      </c>
      <c r="K538" s="331">
        <f t="shared" si="182"/>
        <v>0.41666666666666669</v>
      </c>
      <c r="L538" s="311">
        <f t="shared" si="183"/>
        <v>41.666666666666671</v>
      </c>
      <c r="M538" s="132"/>
    </row>
    <row r="539" spans="1:13" ht="15.75" thickBot="1">
      <c r="A539" s="44"/>
      <c r="B539" s="49">
        <v>19</v>
      </c>
      <c r="C539" s="50" t="s">
        <v>44</v>
      </c>
      <c r="D539" s="51">
        <v>51212000</v>
      </c>
      <c r="E539" s="298"/>
      <c r="F539" s="133">
        <v>0</v>
      </c>
      <c r="G539" s="192">
        <v>20121000</v>
      </c>
      <c r="H539" s="300">
        <f t="shared" si="181"/>
        <v>39.289619620401467</v>
      </c>
      <c r="I539" s="192">
        <f t="shared" ref="I539" si="189">G539</f>
        <v>20121000</v>
      </c>
      <c r="J539" s="301">
        <f t="shared" si="188"/>
        <v>39.289619620401467</v>
      </c>
      <c r="K539" s="331">
        <f t="shared" si="182"/>
        <v>0.41666666666666669</v>
      </c>
      <c r="L539" s="311">
        <f t="shared" si="183"/>
        <v>39.289619620401467</v>
      </c>
      <c r="M539" s="133"/>
    </row>
    <row r="540" spans="1:13" ht="15.75" thickBot="1">
      <c r="A540" s="35"/>
      <c r="B540" s="52"/>
      <c r="C540" s="37" t="s">
        <v>45</v>
      </c>
      <c r="D540" s="53">
        <f>SUM(D525:D539)</f>
        <v>170212000</v>
      </c>
      <c r="E540" s="53">
        <f>SUM(E525:E539)</f>
        <v>0</v>
      </c>
      <c r="F540" s="53">
        <f t="shared" ref="F540" si="190">SUM(F525:F539)</f>
        <v>0</v>
      </c>
      <c r="G540" s="53">
        <f>SUM(G525:G539)</f>
        <v>56176448</v>
      </c>
      <c r="H540" s="214">
        <f>G540/D540*100</f>
        <v>33.003811717152729</v>
      </c>
      <c r="I540" s="194">
        <f t="shared" ref="I540" si="191">SUM(I525:I539)</f>
        <v>56176448</v>
      </c>
      <c r="J540" s="214">
        <f>I540/D540*100</f>
        <v>33.003811717152729</v>
      </c>
      <c r="K540" s="332">
        <f>5/12</f>
        <v>0.41666666666666669</v>
      </c>
      <c r="L540" s="214">
        <f>J540</f>
        <v>33.003811717152729</v>
      </c>
      <c r="M540" s="53"/>
    </row>
    <row r="541" spans="1:13">
      <c r="A541" s="54" t="s">
        <v>29</v>
      </c>
      <c r="B541" s="55" t="s">
        <v>90</v>
      </c>
      <c r="C541" s="56"/>
      <c r="D541" s="57"/>
      <c r="E541" s="119"/>
      <c r="F541" s="131"/>
      <c r="G541" s="152"/>
      <c r="H541" s="152"/>
      <c r="I541" s="119"/>
      <c r="J541" s="152"/>
      <c r="K541" s="152"/>
      <c r="L541" s="152"/>
      <c r="M541" s="131"/>
    </row>
    <row r="542" spans="1:13">
      <c r="A542" s="279"/>
      <c r="B542" s="47" t="s">
        <v>53</v>
      </c>
      <c r="C542" s="46" t="s">
        <v>216</v>
      </c>
      <c r="D542" s="80">
        <v>40000000</v>
      </c>
      <c r="E542" s="119"/>
      <c r="F542" s="131"/>
      <c r="G542" s="152"/>
      <c r="H542" s="152"/>
      <c r="I542" s="119"/>
      <c r="J542" s="152"/>
      <c r="K542" s="331">
        <f>5/12</f>
        <v>0.41666666666666669</v>
      </c>
      <c r="L542" s="152">
        <v>0</v>
      </c>
      <c r="M542" s="131"/>
    </row>
    <row r="543" spans="1:13">
      <c r="A543" s="44"/>
      <c r="B543" s="47" t="s">
        <v>46</v>
      </c>
      <c r="C543" s="58" t="s">
        <v>110</v>
      </c>
      <c r="D543" s="59">
        <v>20000000</v>
      </c>
      <c r="E543" s="120">
        <v>0</v>
      </c>
      <c r="F543" s="132">
        <v>0</v>
      </c>
      <c r="G543" s="119">
        <v>0</v>
      </c>
      <c r="H543" s="59" t="s">
        <v>132</v>
      </c>
      <c r="I543" s="119">
        <f>G543</f>
        <v>0</v>
      </c>
      <c r="J543" s="59" t="s">
        <v>132</v>
      </c>
      <c r="K543" s="331">
        <f t="shared" ref="K543:K549" si="192">5/12</f>
        <v>0.41666666666666669</v>
      </c>
      <c r="L543" s="59">
        <v>0</v>
      </c>
      <c r="M543" s="132"/>
    </row>
    <row r="544" spans="1:13">
      <c r="A544" s="44"/>
      <c r="B544" s="47">
        <v>21</v>
      </c>
      <c r="C544" s="48" t="s">
        <v>47</v>
      </c>
      <c r="D544" s="59">
        <v>30000000</v>
      </c>
      <c r="E544" s="120">
        <v>0</v>
      </c>
      <c r="F544" s="132">
        <v>0</v>
      </c>
      <c r="G544" s="206">
        <v>30000000</v>
      </c>
      <c r="H544" s="299">
        <f t="shared" ref="H544:H548" si="193">G544/D544*100</f>
        <v>100</v>
      </c>
      <c r="I544" s="119">
        <f t="shared" ref="I544:I545" si="194">G544</f>
        <v>30000000</v>
      </c>
      <c r="J544" s="301">
        <f t="shared" ref="J544:J549" si="195">I544/D544*100</f>
        <v>100</v>
      </c>
      <c r="K544" s="331">
        <f t="shared" si="192"/>
        <v>0.41666666666666669</v>
      </c>
      <c r="L544" s="311">
        <f t="shared" ref="L544:L545" si="196">J544</f>
        <v>100</v>
      </c>
      <c r="M544" s="132"/>
    </row>
    <row r="545" spans="1:13">
      <c r="A545" s="44"/>
      <c r="B545" s="47">
        <v>22</v>
      </c>
      <c r="C545" s="48" t="s">
        <v>48</v>
      </c>
      <c r="D545" s="60">
        <v>30000000</v>
      </c>
      <c r="E545" s="120">
        <v>0</v>
      </c>
      <c r="F545" s="132">
        <v>0</v>
      </c>
      <c r="G545" s="206">
        <v>30000000</v>
      </c>
      <c r="H545" s="299">
        <f t="shared" si="193"/>
        <v>100</v>
      </c>
      <c r="I545" s="119">
        <f t="shared" si="194"/>
        <v>30000000</v>
      </c>
      <c r="J545" s="301">
        <f t="shared" si="195"/>
        <v>100</v>
      </c>
      <c r="K545" s="331">
        <f t="shared" si="192"/>
        <v>0.41666666666666669</v>
      </c>
      <c r="L545" s="311">
        <f t="shared" si="196"/>
        <v>100</v>
      </c>
      <c r="M545" s="154"/>
    </row>
    <row r="546" spans="1:13">
      <c r="A546" s="44"/>
      <c r="B546" s="47">
        <v>24</v>
      </c>
      <c r="C546" s="48" t="s">
        <v>49</v>
      </c>
      <c r="D546" s="60">
        <v>35000000</v>
      </c>
      <c r="E546" s="120">
        <v>0</v>
      </c>
      <c r="F546" s="132">
        <v>0</v>
      </c>
      <c r="G546" s="206">
        <f>6051250+1700000+2418000</f>
        <v>10169250</v>
      </c>
      <c r="H546" s="299">
        <f t="shared" si="193"/>
        <v>29.054999999999996</v>
      </c>
      <c r="I546" s="192">
        <f>G546</f>
        <v>10169250</v>
      </c>
      <c r="J546" s="301">
        <f t="shared" si="195"/>
        <v>29.054999999999996</v>
      </c>
      <c r="K546" s="331">
        <f t="shared" si="192"/>
        <v>0.41666666666666669</v>
      </c>
      <c r="L546" s="311">
        <f>J546</f>
        <v>29.054999999999996</v>
      </c>
      <c r="M546" s="132"/>
    </row>
    <row r="547" spans="1:13">
      <c r="A547" s="44"/>
      <c r="B547" s="47">
        <v>26</v>
      </c>
      <c r="C547" s="48" t="s">
        <v>50</v>
      </c>
      <c r="D547" s="60">
        <v>4000000</v>
      </c>
      <c r="E547" s="120">
        <v>0</v>
      </c>
      <c r="F547" s="132">
        <v>0</v>
      </c>
      <c r="G547" s="206">
        <v>1500000</v>
      </c>
      <c r="H547" s="299">
        <f t="shared" si="193"/>
        <v>37.5</v>
      </c>
      <c r="I547" s="192">
        <f>G547</f>
        <v>1500000</v>
      </c>
      <c r="J547" s="301">
        <f t="shared" si="195"/>
        <v>37.5</v>
      </c>
      <c r="K547" s="331">
        <f t="shared" si="192"/>
        <v>0.41666666666666669</v>
      </c>
      <c r="L547" s="311">
        <f t="shared" ref="L547:L549" si="197">J547</f>
        <v>37.5</v>
      </c>
      <c r="M547" s="132"/>
    </row>
    <row r="548" spans="1:13">
      <c r="A548" s="44"/>
      <c r="B548" s="47">
        <v>28</v>
      </c>
      <c r="C548" s="48" t="s">
        <v>51</v>
      </c>
      <c r="D548" s="60">
        <v>12000000</v>
      </c>
      <c r="E548" s="120">
        <v>0</v>
      </c>
      <c r="F548" s="132">
        <v>0</v>
      </c>
      <c r="G548" s="206">
        <f>300000+300000+2250000+1000000+400000</f>
        <v>4250000</v>
      </c>
      <c r="H548" s="299">
        <f t="shared" si="193"/>
        <v>35.416666666666671</v>
      </c>
      <c r="I548" s="192">
        <f>G548</f>
        <v>4250000</v>
      </c>
      <c r="J548" s="301">
        <f>I548/D548*100</f>
        <v>35.416666666666671</v>
      </c>
      <c r="K548" s="331">
        <f t="shared" si="192"/>
        <v>0.41666666666666669</v>
      </c>
      <c r="L548" s="311">
        <f t="shared" si="197"/>
        <v>35.416666666666671</v>
      </c>
      <c r="M548" s="132"/>
    </row>
    <row r="549" spans="1:13">
      <c r="A549" s="44"/>
      <c r="B549" s="61">
        <v>29</v>
      </c>
      <c r="C549" s="50" t="s">
        <v>52</v>
      </c>
      <c r="D549" s="62">
        <v>2000000</v>
      </c>
      <c r="E549" s="121">
        <v>0</v>
      </c>
      <c r="F549" s="133">
        <v>0</v>
      </c>
      <c r="G549" s="197">
        <f>200000+100000</f>
        <v>300000</v>
      </c>
      <c r="H549" s="312">
        <f>G549/D549*100</f>
        <v>15</v>
      </c>
      <c r="I549" s="313">
        <f t="shared" ref="I549" si="198">G549</f>
        <v>300000</v>
      </c>
      <c r="J549" s="314">
        <f t="shared" si="195"/>
        <v>15</v>
      </c>
      <c r="K549" s="331">
        <f t="shared" si="192"/>
        <v>0.41666666666666669</v>
      </c>
      <c r="L549" s="311">
        <f t="shared" si="197"/>
        <v>15</v>
      </c>
      <c r="M549" s="133"/>
    </row>
    <row r="550" spans="1:13">
      <c r="A550" s="63"/>
      <c r="B550" s="64"/>
      <c r="C550" s="65" t="s">
        <v>45</v>
      </c>
      <c r="D550" s="66">
        <f>SUM(D542:D549)</f>
        <v>173000000</v>
      </c>
      <c r="E550" s="122"/>
      <c r="F550" s="66"/>
      <c r="G550" s="285">
        <f>SUM(G542:G549)</f>
        <v>76219250</v>
      </c>
      <c r="H550" s="323">
        <f>G550/D550*100</f>
        <v>44.05736994219653</v>
      </c>
      <c r="I550" s="286">
        <f>SUM(I542:I549)</f>
        <v>76219250</v>
      </c>
      <c r="J550" s="323">
        <f>I550/D550*100</f>
        <v>44.05736994219653</v>
      </c>
      <c r="K550" s="333">
        <f>5/12</f>
        <v>0.41666666666666669</v>
      </c>
      <c r="L550" s="302">
        <f>J550</f>
        <v>44.05736994219653</v>
      </c>
      <c r="M550" s="66"/>
    </row>
    <row r="551" spans="1:13">
      <c r="A551" s="67" t="s">
        <v>53</v>
      </c>
      <c r="B551" s="68" t="s">
        <v>54</v>
      </c>
      <c r="C551" s="69"/>
      <c r="D551" s="70"/>
      <c r="E551" s="123"/>
      <c r="F551" s="134"/>
      <c r="G551" s="164"/>
      <c r="H551" s="148"/>
      <c r="I551" s="164"/>
      <c r="J551" s="152"/>
      <c r="K551" s="152"/>
      <c r="L551" s="156"/>
      <c r="M551" s="134"/>
    </row>
    <row r="552" spans="1:13">
      <c r="A552" s="44"/>
      <c r="B552" s="47" t="s">
        <v>26</v>
      </c>
      <c r="C552" s="48" t="s">
        <v>55</v>
      </c>
      <c r="D552" s="60">
        <v>25000000</v>
      </c>
      <c r="E552" s="120">
        <v>0</v>
      </c>
      <c r="F552" s="208">
        <v>0</v>
      </c>
      <c r="G552" s="197" t="s">
        <v>132</v>
      </c>
      <c r="H552" s="59" t="s">
        <v>132</v>
      </c>
      <c r="I552" s="197" t="s">
        <v>132</v>
      </c>
      <c r="J552" s="59" t="s">
        <v>132</v>
      </c>
      <c r="K552" s="59">
        <v>0</v>
      </c>
      <c r="L552" s="59">
        <v>0</v>
      </c>
      <c r="M552" s="132"/>
    </row>
    <row r="553" spans="1:13">
      <c r="A553" s="63"/>
      <c r="B553" s="71"/>
      <c r="C553" s="65" t="s">
        <v>45</v>
      </c>
      <c r="D553" s="66">
        <f>SUM(D552:D552)</f>
        <v>25000000</v>
      </c>
      <c r="E553" s="122">
        <f>SUM(E552:E552)</f>
        <v>0</v>
      </c>
      <c r="F553" s="202">
        <f>SUM(F552:F552)</f>
        <v>0</v>
      </c>
      <c r="G553" s="122" t="s">
        <v>132</v>
      </c>
      <c r="H553" s="66" t="s">
        <v>132</v>
      </c>
      <c r="I553" s="122" t="s">
        <v>132</v>
      </c>
      <c r="J553" s="155" t="s">
        <v>132</v>
      </c>
      <c r="K553" s="66">
        <f>SUM(K552:K552)</f>
        <v>0</v>
      </c>
      <c r="L553" s="66">
        <f>SUM(L552:L552)</f>
        <v>0</v>
      </c>
      <c r="M553" s="66"/>
    </row>
    <row r="554" spans="1:13">
      <c r="A554" s="44">
        <v>15</v>
      </c>
      <c r="B554" s="72" t="s">
        <v>61</v>
      </c>
      <c r="C554" s="73"/>
      <c r="D554" s="57"/>
      <c r="E554" s="119"/>
      <c r="F554" s="209"/>
      <c r="G554" s="119" t="s">
        <v>132</v>
      </c>
      <c r="H554" s="152" t="s">
        <v>132</v>
      </c>
      <c r="I554" s="119" t="s">
        <v>132</v>
      </c>
      <c r="J554" s="152" t="s">
        <v>132</v>
      </c>
      <c r="K554" s="152"/>
      <c r="L554" s="152"/>
      <c r="M554" s="131"/>
    </row>
    <row r="555" spans="1:13">
      <c r="A555" s="44"/>
      <c r="B555" s="47">
        <v>18</v>
      </c>
      <c r="C555" s="48" t="s">
        <v>62</v>
      </c>
      <c r="D555" s="60">
        <v>5000000</v>
      </c>
      <c r="E555" s="120">
        <v>0</v>
      </c>
      <c r="F555" s="208">
        <v>0</v>
      </c>
      <c r="G555" s="120" t="s">
        <v>132</v>
      </c>
      <c r="H555" s="59" t="s">
        <v>132</v>
      </c>
      <c r="I555" s="120" t="s">
        <v>132</v>
      </c>
      <c r="J555" s="59" t="s">
        <v>132</v>
      </c>
      <c r="K555" s="331">
        <f>5/12</f>
        <v>0.41666666666666669</v>
      </c>
      <c r="L555" s="59">
        <v>0</v>
      </c>
      <c r="M555" s="132"/>
    </row>
    <row r="556" spans="1:13" ht="25.5">
      <c r="A556" s="44"/>
      <c r="B556" s="49">
        <v>63</v>
      </c>
      <c r="C556" s="244" t="s">
        <v>63</v>
      </c>
      <c r="D556" s="62">
        <v>5000000</v>
      </c>
      <c r="E556" s="121">
        <v>0</v>
      </c>
      <c r="F556" s="210">
        <v>0</v>
      </c>
      <c r="G556" s="121" t="s">
        <v>132</v>
      </c>
      <c r="H556" s="153" t="s">
        <v>132</v>
      </c>
      <c r="I556" s="121" t="s">
        <v>132</v>
      </c>
      <c r="J556" s="153" t="s">
        <v>132</v>
      </c>
      <c r="K556" s="331">
        <f>5/12</f>
        <v>0.41666666666666669</v>
      </c>
      <c r="L556" s="153">
        <v>0</v>
      </c>
      <c r="M556" s="133"/>
    </row>
    <row r="557" spans="1:13">
      <c r="A557" s="63"/>
      <c r="B557" s="64"/>
      <c r="C557" s="65" t="s">
        <v>45</v>
      </c>
      <c r="D557" s="66">
        <f>SUM(D555:D556)</f>
        <v>10000000</v>
      </c>
      <c r="E557" s="122">
        <f t="shared" ref="E557" si="199">SUM(E555:E556)</f>
        <v>0</v>
      </c>
      <c r="F557" s="202">
        <f>SUM(F555:F556)</f>
        <v>0</v>
      </c>
      <c r="G557" s="195" t="s">
        <v>132</v>
      </c>
      <c r="H557" s="66" t="s">
        <v>132</v>
      </c>
      <c r="I557" s="195" t="s">
        <v>132</v>
      </c>
      <c r="J557" s="155" t="s">
        <v>132</v>
      </c>
      <c r="K557" s="356">
        <f>5/12</f>
        <v>0.41666666666666669</v>
      </c>
      <c r="L557" s="66">
        <f t="shared" ref="L557" si="200">SUM(L555:L556)</f>
        <v>0</v>
      </c>
      <c r="M557" s="66"/>
    </row>
    <row r="558" spans="1:13">
      <c r="A558" s="44">
        <v>30</v>
      </c>
      <c r="B558" s="77" t="s">
        <v>64</v>
      </c>
      <c r="C558" s="78"/>
      <c r="D558" s="57"/>
      <c r="E558" s="119"/>
      <c r="F558" s="209"/>
      <c r="G558" s="119"/>
      <c r="H558" s="152"/>
      <c r="I558" s="119"/>
      <c r="J558" s="152"/>
      <c r="K558" s="152"/>
      <c r="L558" s="152"/>
      <c r="M558" s="131"/>
    </row>
    <row r="559" spans="1:13">
      <c r="A559" s="44"/>
      <c r="B559" s="45">
        <v>2</v>
      </c>
      <c r="C559" s="79" t="s">
        <v>102</v>
      </c>
      <c r="D559" s="80">
        <v>200000000</v>
      </c>
      <c r="E559" s="124">
        <v>0</v>
      </c>
      <c r="F559" s="209">
        <v>0</v>
      </c>
      <c r="G559" s="124">
        <v>199258000</v>
      </c>
      <c r="H559" s="312">
        <f t="shared" ref="H559" si="201">G559/D559*100</f>
        <v>99.629000000000005</v>
      </c>
      <c r="I559" s="120">
        <f>G559</f>
        <v>199258000</v>
      </c>
      <c r="J559" s="301">
        <f>I559/D559*100</f>
        <v>99.629000000000005</v>
      </c>
      <c r="K559" s="355">
        <f>5/12</f>
        <v>0.41666666666666669</v>
      </c>
      <c r="L559" s="152"/>
      <c r="M559" s="131"/>
    </row>
    <row r="560" spans="1:13">
      <c r="A560" s="63"/>
      <c r="B560" s="64"/>
      <c r="C560" s="65" t="s">
        <v>45</v>
      </c>
      <c r="D560" s="66">
        <f>SUM(D558:D559)</f>
        <v>200000000</v>
      </c>
      <c r="E560" s="66">
        <f>SUM(E558:E559)</f>
        <v>0</v>
      </c>
      <c r="F560" s="202">
        <f>SUM(F558:F559)</f>
        <v>0</v>
      </c>
      <c r="G560" s="122">
        <f>SUM(G559)</f>
        <v>199258000</v>
      </c>
      <c r="H560" s="323">
        <f>G560/D560*100</f>
        <v>99.629000000000005</v>
      </c>
      <c r="I560" s="122">
        <f>SUM(I559)</f>
        <v>199258000</v>
      </c>
      <c r="J560" s="323">
        <f>I560/D560*100</f>
        <v>99.629000000000005</v>
      </c>
      <c r="K560" s="356">
        <f>5/12</f>
        <v>0.41666666666666669</v>
      </c>
      <c r="L560" s="66">
        <f t="shared" ref="L560" si="202">SUM(L558:L559)</f>
        <v>0</v>
      </c>
      <c r="M560" s="66"/>
    </row>
    <row r="561" spans="1:13">
      <c r="A561" s="44">
        <v>21</v>
      </c>
      <c r="B561" s="81" t="s">
        <v>65</v>
      </c>
      <c r="C561" s="82"/>
      <c r="D561" s="57"/>
      <c r="E561" s="119"/>
      <c r="F561" s="209"/>
      <c r="G561" s="119"/>
      <c r="H561" s="152"/>
      <c r="I561" s="119"/>
      <c r="J561" s="152"/>
      <c r="K561" s="152"/>
      <c r="L561" s="152"/>
      <c r="M561" s="131"/>
    </row>
    <row r="562" spans="1:13">
      <c r="A562" s="44"/>
      <c r="B562" s="47" t="s">
        <v>46</v>
      </c>
      <c r="C562" s="48" t="s">
        <v>66</v>
      </c>
      <c r="D562" s="60">
        <v>20000000</v>
      </c>
      <c r="E562" s="125">
        <v>0</v>
      </c>
      <c r="F562" s="211">
        <v>0</v>
      </c>
      <c r="G562" s="199">
        <v>20000000</v>
      </c>
      <c r="H562" s="312">
        <f>G562/D562*100</f>
        <v>100</v>
      </c>
      <c r="I562" s="197">
        <f>G562</f>
        <v>20000000</v>
      </c>
      <c r="J562" s="59">
        <f>H562</f>
        <v>100</v>
      </c>
      <c r="K562" s="349">
        <f>5/12</f>
        <v>0.41666666666666669</v>
      </c>
      <c r="L562" s="59">
        <f>J562</f>
        <v>100</v>
      </c>
      <c r="M562" s="132"/>
    </row>
    <row r="563" spans="1:13">
      <c r="A563" s="63"/>
      <c r="B563" s="83"/>
      <c r="C563" s="65" t="s">
        <v>45</v>
      </c>
      <c r="D563" s="66">
        <f>SUM(D562:D562)</f>
        <v>20000000</v>
      </c>
      <c r="E563" s="66">
        <f t="shared" ref="E563:F563" si="203">SUM(E560:E562)</f>
        <v>0</v>
      </c>
      <c r="F563" s="202">
        <f t="shared" si="203"/>
        <v>0</v>
      </c>
      <c r="G563" s="122">
        <f>SUM(G562)</f>
        <v>20000000</v>
      </c>
      <c r="H563" s="323">
        <f>G563/D563*100</f>
        <v>100</v>
      </c>
      <c r="I563" s="122">
        <f>SUM(I562)</f>
        <v>20000000</v>
      </c>
      <c r="J563" s="66">
        <f>H563</f>
        <v>100</v>
      </c>
      <c r="K563" s="350">
        <f>5/12</f>
        <v>0.41666666666666669</v>
      </c>
      <c r="L563" s="66">
        <f t="shared" ref="L563" si="204">SUM(L560:L562)</f>
        <v>100</v>
      </c>
      <c r="M563" s="66"/>
    </row>
    <row r="564" spans="1:13">
      <c r="A564" s="84">
        <v>18</v>
      </c>
      <c r="B564" s="826" t="s">
        <v>96</v>
      </c>
      <c r="C564" s="827"/>
      <c r="D564" s="57"/>
      <c r="E564" s="119"/>
      <c r="F564" s="209"/>
      <c r="G564" s="119"/>
      <c r="H564" s="152"/>
      <c r="I564" s="119"/>
      <c r="J564" s="152"/>
      <c r="K564" s="152"/>
      <c r="L564" s="152"/>
      <c r="M564" s="131"/>
    </row>
    <row r="565" spans="1:13">
      <c r="A565" s="84"/>
      <c r="B565" s="830" t="s">
        <v>95</v>
      </c>
      <c r="C565" s="831"/>
      <c r="D565" s="57"/>
      <c r="E565" s="124"/>
      <c r="F565" s="209"/>
      <c r="G565" s="119"/>
      <c r="H565" s="152"/>
      <c r="I565" s="119"/>
      <c r="J565" s="152"/>
      <c r="K565" s="152"/>
      <c r="L565" s="152"/>
      <c r="M565" s="131"/>
    </row>
    <row r="566" spans="1:13">
      <c r="A566" s="44"/>
      <c r="B566" s="47" t="s">
        <v>26</v>
      </c>
      <c r="C566" s="48" t="s">
        <v>67</v>
      </c>
      <c r="D566" s="60">
        <v>20000000</v>
      </c>
      <c r="E566" s="125">
        <v>0</v>
      </c>
      <c r="F566" s="211">
        <v>0</v>
      </c>
      <c r="G566" s="199" t="s">
        <v>132</v>
      </c>
      <c r="H566" s="59" t="s">
        <v>132</v>
      </c>
      <c r="I566" s="119" t="str">
        <f t="shared" ref="I566" si="205">G566</f>
        <v>-</v>
      </c>
      <c r="J566" s="59" t="s">
        <v>132</v>
      </c>
      <c r="K566" s="59">
        <v>0</v>
      </c>
      <c r="L566" s="59">
        <v>0</v>
      </c>
      <c r="M566" s="132"/>
    </row>
    <row r="567" spans="1:13">
      <c r="A567" s="44"/>
      <c r="B567" s="47" t="s">
        <v>29</v>
      </c>
      <c r="C567" s="204" t="s">
        <v>220</v>
      </c>
      <c r="D567" s="179">
        <v>7000000</v>
      </c>
      <c r="E567" s="180">
        <v>0</v>
      </c>
      <c r="F567" s="181">
        <v>0</v>
      </c>
      <c r="G567" s="207" t="s">
        <v>132</v>
      </c>
      <c r="H567" s="148" t="s">
        <v>132</v>
      </c>
      <c r="I567" s="119" t="s">
        <v>132</v>
      </c>
      <c r="J567" s="148" t="s">
        <v>132</v>
      </c>
      <c r="K567" s="59">
        <v>0</v>
      </c>
      <c r="L567" s="148">
        <v>0</v>
      </c>
      <c r="M567" s="165"/>
    </row>
    <row r="568" spans="1:13">
      <c r="A568" s="44"/>
      <c r="B568" s="47"/>
      <c r="C568" s="48" t="s">
        <v>117</v>
      </c>
      <c r="D568" s="60"/>
      <c r="E568" s="125"/>
      <c r="F568" s="135"/>
      <c r="G568" s="199"/>
      <c r="H568" s="59"/>
      <c r="I568" s="197"/>
      <c r="J568" s="59"/>
      <c r="K568" s="59"/>
      <c r="L568" s="59"/>
      <c r="M568" s="132"/>
    </row>
    <row r="569" spans="1:13">
      <c r="A569" s="63"/>
      <c r="B569" s="71"/>
      <c r="C569" s="65" t="s">
        <v>45</v>
      </c>
      <c r="D569" s="66">
        <f>SUM(D566:D568)</f>
        <v>27000000</v>
      </c>
      <c r="E569" s="66">
        <f t="shared" ref="E569" si="206">SUM(E566:E566)</f>
        <v>0</v>
      </c>
      <c r="F569" s="66">
        <f>SUM(F566:F566)</f>
        <v>0</v>
      </c>
      <c r="G569" s="122" t="s">
        <v>132</v>
      </c>
      <c r="H569" s="66" t="s">
        <v>132</v>
      </c>
      <c r="I569" s="122" t="s">
        <v>132</v>
      </c>
      <c r="J569" s="66" t="s">
        <v>132</v>
      </c>
      <c r="K569" s="66">
        <f>SUM(K566:K568)</f>
        <v>0</v>
      </c>
      <c r="L569" s="66">
        <f t="shared" ref="L569" si="207">SUM(L566:L566)</f>
        <v>0</v>
      </c>
      <c r="M569" s="66"/>
    </row>
    <row r="570" spans="1:13">
      <c r="A570" s="84">
        <v>17</v>
      </c>
      <c r="B570" s="826" t="s">
        <v>130</v>
      </c>
      <c r="C570" s="827"/>
      <c r="D570" s="57"/>
      <c r="E570" s="119"/>
      <c r="F570" s="131"/>
      <c r="G570" s="119"/>
      <c r="H570" s="152"/>
      <c r="I570" s="119"/>
      <c r="J570" s="152"/>
      <c r="K570" s="152"/>
      <c r="L570" s="152"/>
      <c r="M570" s="131"/>
    </row>
    <row r="571" spans="1:13">
      <c r="A571" s="44"/>
      <c r="B571" s="47" t="s">
        <v>53</v>
      </c>
      <c r="C571" s="48" t="s">
        <v>131</v>
      </c>
      <c r="D571" s="60">
        <v>24000000</v>
      </c>
      <c r="E571" s="125">
        <v>0</v>
      </c>
      <c r="F571" s="135">
        <v>0</v>
      </c>
      <c r="G571" s="197" t="s">
        <v>132</v>
      </c>
      <c r="H571" s="59" t="s">
        <v>132</v>
      </c>
      <c r="I571" s="197" t="s">
        <v>132</v>
      </c>
      <c r="J571" s="59" t="s">
        <v>132</v>
      </c>
      <c r="K571" s="59">
        <v>0</v>
      </c>
      <c r="L571" s="59">
        <v>0</v>
      </c>
      <c r="M571" s="132"/>
    </row>
    <row r="572" spans="1:13">
      <c r="A572" s="63"/>
      <c r="B572" s="64"/>
      <c r="C572" s="65" t="s">
        <v>45</v>
      </c>
      <c r="D572" s="66">
        <f>SUM(D571:D571)</f>
        <v>24000000</v>
      </c>
      <c r="E572" s="66">
        <f t="shared" ref="E572:F572" si="208">SUM(E570:E571)</f>
        <v>0</v>
      </c>
      <c r="F572" s="66">
        <f t="shared" si="208"/>
        <v>0</v>
      </c>
      <c r="G572" s="122" t="s">
        <v>132</v>
      </c>
      <c r="H572" s="66" t="s">
        <v>132</v>
      </c>
      <c r="I572" s="122" t="s">
        <v>132</v>
      </c>
      <c r="J572" s="66" t="s">
        <v>132</v>
      </c>
      <c r="K572" s="66">
        <f t="shared" ref="K572:L572" si="209">SUM(K570:K571)</f>
        <v>0</v>
      </c>
      <c r="L572" s="66">
        <f t="shared" si="209"/>
        <v>0</v>
      </c>
      <c r="M572" s="66"/>
    </row>
    <row r="573" spans="1:13">
      <c r="A573" s="44">
        <v>15</v>
      </c>
      <c r="B573" s="354" t="s">
        <v>68</v>
      </c>
      <c r="C573" s="86"/>
      <c r="D573" s="57"/>
      <c r="E573" s="119"/>
      <c r="F573" s="131"/>
      <c r="G573" s="119"/>
      <c r="H573" s="152"/>
      <c r="I573" s="119"/>
      <c r="J573" s="152"/>
      <c r="K573" s="152"/>
      <c r="L573" s="152"/>
      <c r="M573" s="131"/>
    </row>
    <row r="574" spans="1:13" ht="26.25">
      <c r="A574" s="44"/>
      <c r="B574" s="49" t="s">
        <v>80</v>
      </c>
      <c r="C574" s="50" t="s">
        <v>118</v>
      </c>
      <c r="D574" s="62">
        <v>10000000</v>
      </c>
      <c r="E574" s="125">
        <v>0</v>
      </c>
      <c r="F574" s="135">
        <v>0</v>
      </c>
      <c r="G574" s="119" t="s">
        <v>132</v>
      </c>
      <c r="H574" s="59" t="s">
        <v>132</v>
      </c>
      <c r="I574" s="119" t="s">
        <v>132</v>
      </c>
      <c r="J574" s="59" t="s">
        <v>132</v>
      </c>
      <c r="K574" s="339">
        <f>5/12</f>
        <v>0.41666666666666669</v>
      </c>
      <c r="L574" s="59">
        <v>0</v>
      </c>
      <c r="M574" s="132"/>
    </row>
    <row r="575" spans="1:13">
      <c r="A575" s="44"/>
      <c r="B575" s="49" t="s">
        <v>69</v>
      </c>
      <c r="C575" s="50" t="s">
        <v>70</v>
      </c>
      <c r="D575" s="62">
        <v>60000000</v>
      </c>
      <c r="E575" s="125">
        <v>0</v>
      </c>
      <c r="F575" s="135">
        <v>0</v>
      </c>
      <c r="G575" s="197">
        <v>30000000</v>
      </c>
      <c r="H575" s="312">
        <f>G575/D575*100</f>
        <v>50</v>
      </c>
      <c r="I575" s="197">
        <f>G575</f>
        <v>30000000</v>
      </c>
      <c r="J575" s="301">
        <f>H575</f>
        <v>50</v>
      </c>
      <c r="K575" s="349">
        <f>5/12</f>
        <v>0.41666666666666669</v>
      </c>
      <c r="L575" s="59">
        <v>0</v>
      </c>
      <c r="M575" s="132"/>
    </row>
    <row r="576" spans="1:13">
      <c r="A576" s="63"/>
      <c r="B576" s="64"/>
      <c r="C576" s="65" t="s">
        <v>45</v>
      </c>
      <c r="D576" s="66">
        <f>SUM(D574:D575)</f>
        <v>70000000</v>
      </c>
      <c r="E576" s="66">
        <f>SUM(E572:E575)</f>
        <v>0</v>
      </c>
      <c r="F576" s="66">
        <f>SUM(F572:F575)</f>
        <v>0</v>
      </c>
      <c r="G576" s="122">
        <f>SUM(G575)</f>
        <v>30000000</v>
      </c>
      <c r="H576" s="323">
        <f>G576/D576*100</f>
        <v>42.857142857142854</v>
      </c>
      <c r="I576" s="122">
        <f>SUM(I575)</f>
        <v>30000000</v>
      </c>
      <c r="J576" s="302">
        <f>H576</f>
        <v>42.857142857142854</v>
      </c>
      <c r="K576" s="356">
        <f>5/12</f>
        <v>0.41666666666666669</v>
      </c>
      <c r="L576" s="66">
        <f>SUM(L572:L575)</f>
        <v>0</v>
      </c>
      <c r="M576" s="66"/>
    </row>
    <row r="577" spans="1:13">
      <c r="A577" s="44">
        <v>16</v>
      </c>
      <c r="B577" s="81" t="s">
        <v>71</v>
      </c>
      <c r="C577" s="82"/>
      <c r="D577" s="57"/>
      <c r="E577" s="119"/>
      <c r="F577" s="131"/>
      <c r="G577" s="119"/>
      <c r="H577" s="152"/>
      <c r="I577" s="119"/>
      <c r="J577" s="152"/>
      <c r="K577" s="152"/>
      <c r="L577" s="152"/>
      <c r="M577" s="131"/>
    </row>
    <row r="578" spans="1:13">
      <c r="A578" s="44"/>
      <c r="B578" s="47" t="s">
        <v>72</v>
      </c>
      <c r="C578" s="48" t="s">
        <v>73</v>
      </c>
      <c r="D578" s="60">
        <v>5000000</v>
      </c>
      <c r="E578" s="120">
        <v>0</v>
      </c>
      <c r="F578" s="132">
        <v>0</v>
      </c>
      <c r="G578" s="120">
        <v>5000000</v>
      </c>
      <c r="H578" s="312">
        <f>G578/D578*100</f>
        <v>100</v>
      </c>
      <c r="I578" s="313">
        <f t="shared" ref="I578:I579" si="210">G578</f>
        <v>5000000</v>
      </c>
      <c r="J578" s="314">
        <f t="shared" ref="J578:J579" si="211">I578/D578*100</f>
        <v>100</v>
      </c>
      <c r="K578" s="339">
        <f>5/12</f>
        <v>0.41666666666666669</v>
      </c>
      <c r="L578" s="311">
        <f>J578</f>
        <v>100</v>
      </c>
      <c r="M578" s="132"/>
    </row>
    <row r="579" spans="1:13">
      <c r="A579" s="63"/>
      <c r="B579" s="83"/>
      <c r="C579" s="65" t="s">
        <v>45</v>
      </c>
      <c r="D579" s="66">
        <f>SUM(D578:D578)</f>
        <v>5000000</v>
      </c>
      <c r="E579" s="122">
        <f>SUM(E578:E578)</f>
        <v>0</v>
      </c>
      <c r="F579" s="66">
        <f>SUM(F578:F578)</f>
        <v>0</v>
      </c>
      <c r="G579" s="195">
        <f>G578</f>
        <v>5000000</v>
      </c>
      <c r="H579" s="310">
        <f>G579/D579*100</f>
        <v>100</v>
      </c>
      <c r="I579" s="192">
        <f t="shared" si="210"/>
        <v>5000000</v>
      </c>
      <c r="J579" s="311">
        <f t="shared" si="211"/>
        <v>100</v>
      </c>
      <c r="K579" s="333">
        <f>SUM(K578)</f>
        <v>0.41666666666666669</v>
      </c>
      <c r="L579" s="302">
        <f>SUM(L578)</f>
        <v>100</v>
      </c>
      <c r="M579" s="66"/>
    </row>
    <row r="580" spans="1:13">
      <c r="A580" s="87" t="s">
        <v>69</v>
      </c>
      <c r="B580" s="826" t="s">
        <v>89</v>
      </c>
      <c r="C580" s="827"/>
      <c r="D580" s="70"/>
      <c r="E580" s="123"/>
      <c r="F580" s="134"/>
      <c r="G580" s="123"/>
      <c r="H580" s="156"/>
      <c r="I580" s="123"/>
      <c r="J580" s="156"/>
      <c r="K580" s="156"/>
      <c r="L580" s="156"/>
      <c r="M580" s="134"/>
    </row>
    <row r="581" spans="1:13">
      <c r="A581" s="88"/>
      <c r="B581" s="830" t="s">
        <v>88</v>
      </c>
      <c r="C581" s="831"/>
      <c r="D581" s="57"/>
      <c r="E581" s="119"/>
      <c r="F581" s="131"/>
      <c r="G581" s="119"/>
      <c r="H581" s="152"/>
      <c r="I581" s="119"/>
      <c r="J581" s="152"/>
      <c r="K581" s="152"/>
      <c r="L581" s="152"/>
      <c r="M581" s="131"/>
    </row>
    <row r="582" spans="1:13">
      <c r="A582" s="89"/>
      <c r="B582" s="61" t="s">
        <v>26</v>
      </c>
      <c r="C582" s="90" t="s">
        <v>74</v>
      </c>
      <c r="D582" s="91">
        <v>15000000</v>
      </c>
      <c r="E582" s="126">
        <v>0</v>
      </c>
      <c r="F582" s="136">
        <v>0</v>
      </c>
      <c r="G582" s="126">
        <v>15000000</v>
      </c>
      <c r="H582" s="312">
        <f>G582/D582*100</f>
        <v>100</v>
      </c>
      <c r="I582" s="313">
        <f t="shared" ref="I582:I583" si="212">G582</f>
        <v>15000000</v>
      </c>
      <c r="J582" s="314">
        <f t="shared" ref="J582:J583" si="213">I582/D582*100</f>
        <v>100</v>
      </c>
      <c r="K582" s="339">
        <f>5/12</f>
        <v>0.41666666666666669</v>
      </c>
      <c r="L582" s="311">
        <f>J582</f>
        <v>100</v>
      </c>
      <c r="M582" s="136"/>
    </row>
    <row r="583" spans="1:13">
      <c r="A583" s="63"/>
      <c r="B583" s="83"/>
      <c r="C583" s="65" t="s">
        <v>45</v>
      </c>
      <c r="D583" s="66">
        <f>SUM(D582:D582)</f>
        <v>15000000</v>
      </c>
      <c r="E583" s="122">
        <f>SUM(E582:E582)</f>
        <v>0</v>
      </c>
      <c r="F583" s="66">
        <f>SUM(F582:F582)</f>
        <v>0</v>
      </c>
      <c r="G583" s="126">
        <f>SUM(G582)</f>
        <v>15000000</v>
      </c>
      <c r="H583" s="316">
        <f>G583/D583*100</f>
        <v>100</v>
      </c>
      <c r="I583" s="315">
        <f t="shared" si="212"/>
        <v>15000000</v>
      </c>
      <c r="J583" s="317">
        <f t="shared" si="213"/>
        <v>100</v>
      </c>
      <c r="K583" s="333">
        <f>SUM(K582)</f>
        <v>0.41666666666666669</v>
      </c>
      <c r="L583" s="302">
        <f>SUM(L582)</f>
        <v>100</v>
      </c>
      <c r="M583" s="66"/>
    </row>
    <row r="584" spans="1:13">
      <c r="A584" s="88"/>
      <c r="B584" s="826" t="s">
        <v>94</v>
      </c>
      <c r="C584" s="827"/>
      <c r="D584" s="57"/>
      <c r="E584" s="119"/>
      <c r="F584" s="131"/>
      <c r="G584" s="119"/>
      <c r="H584" s="152"/>
      <c r="I584" s="119"/>
      <c r="J584" s="152"/>
      <c r="K584" s="152"/>
      <c r="L584" s="152"/>
      <c r="M584" s="131"/>
    </row>
    <row r="585" spans="1:13">
      <c r="A585" s="84"/>
      <c r="B585" s="92" t="s">
        <v>26</v>
      </c>
      <c r="C585" s="48" t="s">
        <v>134</v>
      </c>
      <c r="D585" s="60">
        <v>4000000</v>
      </c>
      <c r="E585" s="125">
        <v>0</v>
      </c>
      <c r="F585" s="135">
        <v>0</v>
      </c>
      <c r="G585" s="197" t="s">
        <v>132</v>
      </c>
      <c r="H585" s="59" t="s">
        <v>132</v>
      </c>
      <c r="I585" s="197" t="s">
        <v>132</v>
      </c>
      <c r="J585" s="59" t="s">
        <v>132</v>
      </c>
      <c r="K585" s="339">
        <f>5/12</f>
        <v>0.41666666666666669</v>
      </c>
      <c r="L585" s="59">
        <v>0</v>
      </c>
      <c r="M585" s="132"/>
    </row>
    <row r="586" spans="1:13">
      <c r="A586" s="93"/>
      <c r="B586" s="64"/>
      <c r="C586" s="65" t="s">
        <v>45</v>
      </c>
      <c r="D586" s="66">
        <f>SUM(D585:D585)</f>
        <v>4000000</v>
      </c>
      <c r="E586" s="66">
        <f t="shared" ref="E586:F586" si="214">SUM(E580:E585)</f>
        <v>0</v>
      </c>
      <c r="F586" s="66">
        <f t="shared" si="214"/>
        <v>0</v>
      </c>
      <c r="G586" s="122" t="s">
        <v>132</v>
      </c>
      <c r="H586" s="66" t="s">
        <v>132</v>
      </c>
      <c r="I586" s="122" t="s">
        <v>132</v>
      </c>
      <c r="J586" s="66" t="s">
        <v>132</v>
      </c>
      <c r="K586" s="339">
        <f>5/12</f>
        <v>0.41666666666666669</v>
      </c>
      <c r="L586" s="66">
        <v>0</v>
      </c>
      <c r="M586" s="66"/>
    </row>
    <row r="587" spans="1:13">
      <c r="A587" s="84">
        <v>16</v>
      </c>
      <c r="B587" s="826" t="s">
        <v>75</v>
      </c>
      <c r="C587" s="827"/>
      <c r="D587" s="57"/>
      <c r="E587" s="119"/>
      <c r="F587" s="131"/>
      <c r="G587" s="119"/>
      <c r="H587" s="156"/>
      <c r="I587" s="123"/>
      <c r="J587" s="152"/>
      <c r="K587" s="152"/>
      <c r="L587" s="152"/>
      <c r="M587" s="131"/>
    </row>
    <row r="588" spans="1:13">
      <c r="A588" s="84"/>
      <c r="B588" s="94" t="s">
        <v>72</v>
      </c>
      <c r="C588" s="95" t="s">
        <v>103</v>
      </c>
      <c r="D588" s="80">
        <v>10000000</v>
      </c>
      <c r="E588" s="124"/>
      <c r="F588" s="131"/>
      <c r="G588" s="218">
        <v>3000000</v>
      </c>
      <c r="H588" s="312">
        <f>G588/D588*100</f>
        <v>30</v>
      </c>
      <c r="I588" s="313">
        <f t="shared" ref="I588" si="215">G588</f>
        <v>3000000</v>
      </c>
      <c r="J588" s="314">
        <f t="shared" ref="J588" si="216">I588/D588*100</f>
        <v>30</v>
      </c>
      <c r="K588" s="339">
        <f>5/12</f>
        <v>0.41666666666666669</v>
      </c>
      <c r="L588" s="311">
        <f>J588</f>
        <v>30</v>
      </c>
      <c r="M588" s="131"/>
    </row>
    <row r="589" spans="1:13">
      <c r="A589" s="93"/>
      <c r="B589" s="83"/>
      <c r="C589" s="65" t="s">
        <v>45</v>
      </c>
      <c r="D589" s="66">
        <f>SUM(D588)</f>
        <v>10000000</v>
      </c>
      <c r="E589" s="66">
        <f t="shared" ref="E589:F589" si="217">SUM(E587:E588)</f>
        <v>0</v>
      </c>
      <c r="F589" s="66">
        <f t="shared" si="217"/>
        <v>0</v>
      </c>
      <c r="G589" s="122">
        <f>SUM(G588)</f>
        <v>3000000</v>
      </c>
      <c r="H589" s="302">
        <f t="shared" ref="H589:J589" si="218">SUM(H588)</f>
        <v>30</v>
      </c>
      <c r="I589" s="122">
        <f t="shared" si="218"/>
        <v>3000000</v>
      </c>
      <c r="J589" s="302">
        <f t="shared" si="218"/>
        <v>30</v>
      </c>
      <c r="K589" s="333">
        <f>SUM(K588)</f>
        <v>0.41666666666666669</v>
      </c>
      <c r="L589" s="302">
        <f t="shared" ref="L589" si="219">SUM(L588)</f>
        <v>30</v>
      </c>
      <c r="M589" s="66"/>
    </row>
    <row r="590" spans="1:13">
      <c r="A590" s="84">
        <v>22</v>
      </c>
      <c r="B590" s="826" t="s">
        <v>87</v>
      </c>
      <c r="C590" s="827"/>
      <c r="D590" s="57"/>
      <c r="E590" s="119"/>
      <c r="F590" s="131"/>
      <c r="G590" s="119"/>
      <c r="H590" s="152"/>
      <c r="I590" s="119"/>
      <c r="J590" s="152"/>
      <c r="K590" s="152"/>
      <c r="L590" s="152"/>
      <c r="M590" s="131"/>
    </row>
    <row r="591" spans="1:13" ht="25.5">
      <c r="A591" s="84"/>
      <c r="B591" s="47" t="s">
        <v>26</v>
      </c>
      <c r="C591" s="95" t="s">
        <v>76</v>
      </c>
      <c r="D591" s="60">
        <v>3500000</v>
      </c>
      <c r="E591" s="125">
        <v>0</v>
      </c>
      <c r="F591" s="135">
        <v>0</v>
      </c>
      <c r="G591" s="197">
        <v>875000</v>
      </c>
      <c r="H591" s="312">
        <f>G591/D591*100</f>
        <v>25</v>
      </c>
      <c r="I591" s="197">
        <f>G591</f>
        <v>875000</v>
      </c>
      <c r="J591" s="314">
        <f t="shared" ref="J591:J592" si="220">I591/D591*100</f>
        <v>25</v>
      </c>
      <c r="K591" s="339">
        <f>5/12</f>
        <v>0.41666666666666669</v>
      </c>
      <c r="L591" s="311">
        <f>J591</f>
        <v>25</v>
      </c>
      <c r="M591" s="132"/>
    </row>
    <row r="592" spans="1:13">
      <c r="A592" s="63"/>
      <c r="B592" s="83"/>
      <c r="C592" s="65" t="s">
        <v>45</v>
      </c>
      <c r="D592" s="66">
        <f>SUM(D591:D591)</f>
        <v>3500000</v>
      </c>
      <c r="E592" s="66">
        <f t="shared" ref="E592:F592" si="221">SUM(E589:E591)</f>
        <v>0</v>
      </c>
      <c r="F592" s="66">
        <f t="shared" si="221"/>
        <v>0</v>
      </c>
      <c r="G592" s="122">
        <f>SUM(G591)</f>
        <v>875000</v>
      </c>
      <c r="H592" s="312">
        <f>G592/D592*100</f>
        <v>25</v>
      </c>
      <c r="I592" s="122">
        <f>SUM(I591)</f>
        <v>875000</v>
      </c>
      <c r="J592" s="314">
        <f t="shared" si="220"/>
        <v>25</v>
      </c>
      <c r="K592" s="333">
        <f>SUM(K591)</f>
        <v>0.41666666666666669</v>
      </c>
      <c r="L592" s="302">
        <f>SUM(L591)</f>
        <v>25</v>
      </c>
      <c r="M592" s="66"/>
    </row>
    <row r="593" spans="1:13">
      <c r="A593" s="44">
        <v>17</v>
      </c>
      <c r="B593" s="822" t="s">
        <v>56</v>
      </c>
      <c r="C593" s="823"/>
      <c r="D593" s="57"/>
      <c r="E593" s="119"/>
      <c r="F593" s="131"/>
      <c r="G593" s="119"/>
      <c r="H593" s="152"/>
      <c r="I593" s="119"/>
      <c r="J593" s="152"/>
      <c r="K593" s="152"/>
      <c r="L593" s="152"/>
      <c r="M593" s="131"/>
    </row>
    <row r="594" spans="1:13">
      <c r="A594" s="44"/>
      <c r="B594" s="47">
        <v>19</v>
      </c>
      <c r="C594" s="824" t="s">
        <v>91</v>
      </c>
      <c r="E594" s="120"/>
      <c r="F594" s="132"/>
      <c r="G594" s="119"/>
      <c r="H594" s="59"/>
      <c r="I594" s="119"/>
      <c r="J594" s="59"/>
      <c r="K594" s="59"/>
      <c r="L594" s="59"/>
      <c r="M594" s="132"/>
    </row>
    <row r="595" spans="1:13">
      <c r="A595" s="44"/>
      <c r="B595" s="163"/>
      <c r="C595" s="825"/>
      <c r="D595" s="60">
        <v>25000000</v>
      </c>
      <c r="E595" s="164">
        <v>0</v>
      </c>
      <c r="F595" s="165">
        <v>0</v>
      </c>
      <c r="G595" s="330">
        <v>5980000</v>
      </c>
      <c r="H595" s="312">
        <f>G595/D595*100</f>
        <v>23.919999999999998</v>
      </c>
      <c r="I595" s="197">
        <f>G595</f>
        <v>5980000</v>
      </c>
      <c r="J595" s="314">
        <f t="shared" ref="J595" si="222">I595/D595*100</f>
        <v>23.919999999999998</v>
      </c>
      <c r="K595" s="339">
        <f>5/12</f>
        <v>0.41666666666666669</v>
      </c>
      <c r="L595" s="314">
        <f>J595</f>
        <v>23.919999999999998</v>
      </c>
      <c r="M595" s="165"/>
    </row>
    <row r="596" spans="1:13">
      <c r="A596" s="63"/>
      <c r="B596" s="96"/>
      <c r="C596" s="65" t="s">
        <v>45</v>
      </c>
      <c r="D596" s="66">
        <f>SUM(D595:D595)</f>
        <v>25000000</v>
      </c>
      <c r="E596" s="122">
        <f>SUM(E594:E594)</f>
        <v>0</v>
      </c>
      <c r="F596" s="137">
        <f>SUM(F594:F594)</f>
        <v>0</v>
      </c>
      <c r="G596" s="122">
        <f>SUM(G595)</f>
        <v>5980000</v>
      </c>
      <c r="H596" s="302">
        <f>SUM(H595)</f>
        <v>23.919999999999998</v>
      </c>
      <c r="I596" s="122">
        <f>SUM(I595)</f>
        <v>5980000</v>
      </c>
      <c r="J596" s="324">
        <f>SUM(J595)</f>
        <v>23.919999999999998</v>
      </c>
      <c r="K596" s="333">
        <f>SUM(K595)</f>
        <v>0.41666666666666669</v>
      </c>
      <c r="L596" s="340">
        <f>J596</f>
        <v>23.919999999999998</v>
      </c>
      <c r="M596" s="137"/>
    </row>
    <row r="597" spans="1:13">
      <c r="A597" s="44">
        <v>19</v>
      </c>
      <c r="B597" s="826" t="s">
        <v>57</v>
      </c>
      <c r="C597" s="827"/>
      <c r="D597" s="57"/>
      <c r="E597" s="119"/>
      <c r="F597" s="131"/>
      <c r="G597" s="119"/>
      <c r="H597" s="152"/>
      <c r="I597" s="119"/>
      <c r="J597" s="152"/>
      <c r="K597" s="152"/>
      <c r="L597" s="152"/>
      <c r="M597" s="131"/>
    </row>
    <row r="598" spans="1:13">
      <c r="A598" s="44"/>
      <c r="B598" s="47" t="s">
        <v>26</v>
      </c>
      <c r="C598" s="48" t="s">
        <v>58</v>
      </c>
      <c r="D598" s="60">
        <v>15000000</v>
      </c>
      <c r="E598" s="120">
        <v>0</v>
      </c>
      <c r="F598" s="132">
        <v>0</v>
      </c>
      <c r="G598" s="197">
        <v>15000000</v>
      </c>
      <c r="H598" s="59">
        <f>G598/D598*100</f>
        <v>100</v>
      </c>
      <c r="I598" s="197">
        <f>G598</f>
        <v>15000000</v>
      </c>
      <c r="J598" s="301">
        <f>I598/D598*100</f>
        <v>100</v>
      </c>
      <c r="K598" s="339">
        <f>5/12</f>
        <v>0.41666666666666669</v>
      </c>
      <c r="L598" s="311">
        <f>J598</f>
        <v>100</v>
      </c>
      <c r="M598" s="132"/>
    </row>
    <row r="599" spans="1:13">
      <c r="A599" s="183"/>
      <c r="B599" s="64"/>
      <c r="C599" s="65" t="s">
        <v>45</v>
      </c>
      <c r="D599" s="66">
        <f>SUM(D598)</f>
        <v>15000000</v>
      </c>
      <c r="E599" s="122">
        <f>SUM(E596:E596)</f>
        <v>0</v>
      </c>
      <c r="F599" s="66">
        <f>SUM(F596:F596)</f>
        <v>0</v>
      </c>
      <c r="G599" s="122">
        <f>G598</f>
        <v>15000000</v>
      </c>
      <c r="H599" s="66">
        <f>G599/D599*100</f>
        <v>100</v>
      </c>
      <c r="I599" s="122">
        <f>I598</f>
        <v>15000000</v>
      </c>
      <c r="J599" s="324">
        <f>I599/D599*100</f>
        <v>100</v>
      </c>
      <c r="K599" s="333">
        <f>SUM(K598)</f>
        <v>0.41666666666666669</v>
      </c>
      <c r="L599" s="302">
        <f>SUM(L598)</f>
        <v>100</v>
      </c>
      <c r="M599" s="66"/>
    </row>
    <row r="600" spans="1:13">
      <c r="A600" s="44">
        <v>32</v>
      </c>
      <c r="B600" s="97" t="s">
        <v>59</v>
      </c>
      <c r="C600" s="98"/>
      <c r="D600" s="57"/>
      <c r="E600" s="119"/>
      <c r="F600" s="131"/>
      <c r="G600" s="119"/>
      <c r="H600" s="152"/>
      <c r="I600" s="119"/>
      <c r="J600" s="152"/>
      <c r="K600" s="152"/>
      <c r="L600" s="152"/>
      <c r="M600" s="131"/>
    </row>
    <row r="601" spans="1:13">
      <c r="A601" s="44"/>
      <c r="B601" s="47" t="s">
        <v>26</v>
      </c>
      <c r="C601" s="58" t="s">
        <v>60</v>
      </c>
      <c r="D601" s="60">
        <v>15000000</v>
      </c>
      <c r="E601" s="120">
        <v>0</v>
      </c>
      <c r="F601" s="132">
        <v>0</v>
      </c>
      <c r="G601" s="197">
        <f>750000+225000</f>
        <v>975000</v>
      </c>
      <c r="H601" s="301">
        <f>G601/D601*100</f>
        <v>6.5</v>
      </c>
      <c r="I601" s="192">
        <f>G601</f>
        <v>975000</v>
      </c>
      <c r="J601" s="301">
        <f>I601/D601*100</f>
        <v>6.5</v>
      </c>
      <c r="K601" s="339">
        <f>5/12</f>
        <v>0.41666666666666669</v>
      </c>
      <c r="L601" s="311">
        <f>J601</f>
        <v>6.5</v>
      </c>
      <c r="M601" s="132"/>
    </row>
    <row r="602" spans="1:13">
      <c r="A602" s="63"/>
      <c r="B602" s="64"/>
      <c r="C602" s="65" t="s">
        <v>45</v>
      </c>
      <c r="D602" s="66">
        <f>SUM(D601)</f>
        <v>15000000</v>
      </c>
      <c r="E602" s="122">
        <f>SUM(E601:E601)</f>
        <v>0</v>
      </c>
      <c r="F602" s="66">
        <f>SUM(F601:F601)</f>
        <v>0</v>
      </c>
      <c r="G602" s="122">
        <f>G601</f>
        <v>975000</v>
      </c>
      <c r="H602" s="302">
        <f>G602/D602*100</f>
        <v>6.5</v>
      </c>
      <c r="I602" s="122">
        <f>I601</f>
        <v>975000</v>
      </c>
      <c r="J602" s="302">
        <f>I602/D602*100</f>
        <v>6.5</v>
      </c>
      <c r="K602" s="333">
        <f>SUM(K601:K601)</f>
        <v>0.41666666666666669</v>
      </c>
      <c r="L602" s="302">
        <f>SUM(L601:L601)</f>
        <v>6.5</v>
      </c>
      <c r="M602" s="66"/>
    </row>
    <row r="603" spans="1:13">
      <c r="A603" s="99">
        <v>15</v>
      </c>
      <c r="B603" s="100" t="s">
        <v>77</v>
      </c>
      <c r="C603" s="352"/>
      <c r="D603" s="70"/>
      <c r="E603" s="123"/>
      <c r="F603" s="134"/>
      <c r="G603" s="123"/>
      <c r="H603" s="156"/>
      <c r="I603" s="123"/>
      <c r="J603" s="144"/>
      <c r="K603" s="156"/>
      <c r="L603" s="156"/>
      <c r="M603" s="134"/>
    </row>
    <row r="604" spans="1:13">
      <c r="A604" s="84"/>
      <c r="B604" s="101" t="s">
        <v>78</v>
      </c>
      <c r="C604" s="48"/>
      <c r="D604" s="102"/>
      <c r="E604" s="119"/>
      <c r="F604" s="131"/>
      <c r="G604" s="119"/>
      <c r="H604" s="152"/>
      <c r="I604" s="119"/>
      <c r="J604" s="59"/>
      <c r="K604" s="152"/>
      <c r="L604" s="152"/>
      <c r="M604" s="131"/>
    </row>
    <row r="605" spans="1:13">
      <c r="A605" s="44"/>
      <c r="B605" s="47" t="s">
        <v>26</v>
      </c>
      <c r="C605" s="48" t="s">
        <v>79</v>
      </c>
      <c r="D605" s="60">
        <v>5000000</v>
      </c>
      <c r="E605" s="120">
        <v>0</v>
      </c>
      <c r="F605" s="132">
        <v>0</v>
      </c>
      <c r="G605" s="199" t="s">
        <v>132</v>
      </c>
      <c r="H605" s="59" t="s">
        <v>132</v>
      </c>
      <c r="I605" s="199" t="s">
        <v>132</v>
      </c>
      <c r="J605" s="59" t="s">
        <v>132</v>
      </c>
      <c r="K605" s="339">
        <f>5/12</f>
        <v>0.41666666666666669</v>
      </c>
      <c r="L605" s="59">
        <v>0</v>
      </c>
      <c r="M605" s="132"/>
    </row>
    <row r="606" spans="1:13">
      <c r="A606" s="89"/>
      <c r="B606" s="61" t="s">
        <v>80</v>
      </c>
      <c r="C606" s="103" t="s">
        <v>104</v>
      </c>
      <c r="D606" s="91">
        <v>15000000</v>
      </c>
      <c r="E606" s="127">
        <v>0</v>
      </c>
      <c r="F606" s="138">
        <v>0</v>
      </c>
      <c r="G606" s="197">
        <v>15000000</v>
      </c>
      <c r="H606" s="59">
        <f>G606/D606*100</f>
        <v>100</v>
      </c>
      <c r="I606" s="197">
        <f>G606</f>
        <v>15000000</v>
      </c>
      <c r="J606" s="301">
        <f>I606/D606*100</f>
        <v>100</v>
      </c>
      <c r="K606" s="355">
        <f>5/12</f>
        <v>0.41666666666666669</v>
      </c>
      <c r="L606" s="157">
        <v>0</v>
      </c>
      <c r="M606" s="136"/>
    </row>
    <row r="607" spans="1:13">
      <c r="A607" s="93"/>
      <c r="B607" s="83"/>
      <c r="C607" s="65" t="s">
        <v>45</v>
      </c>
      <c r="D607" s="66">
        <f>SUM(D605:D606)</f>
        <v>20000000</v>
      </c>
      <c r="E607" s="66">
        <f>SUM(E605:E606)</f>
        <v>0</v>
      </c>
      <c r="F607" s="66">
        <f t="shared" ref="F607" si="223">SUM(F605:F606)</f>
        <v>0</v>
      </c>
      <c r="G607" s="122">
        <f>SUM(G606)</f>
        <v>15000000</v>
      </c>
      <c r="H607" s="302">
        <f>G607/D607*100</f>
        <v>75</v>
      </c>
      <c r="I607" s="197">
        <f>SUM(I606)</f>
        <v>15000000</v>
      </c>
      <c r="J607" s="302">
        <f>I607/D607*100</f>
        <v>75</v>
      </c>
      <c r="K607" s="350">
        <f>5/12</f>
        <v>0.41666666666666669</v>
      </c>
      <c r="L607" s="66">
        <f t="shared" ref="L607" si="224">SUM(L605:L606)</f>
        <v>0</v>
      </c>
      <c r="M607" s="66"/>
    </row>
    <row r="608" spans="1:13">
      <c r="A608" s="84">
        <v>18</v>
      </c>
      <c r="B608" s="75" t="s">
        <v>82</v>
      </c>
      <c r="C608" s="76"/>
      <c r="D608" s="57"/>
      <c r="E608" s="119"/>
      <c r="F608" s="131"/>
      <c r="G608" s="119"/>
      <c r="H608" s="152"/>
      <c r="I608" s="119"/>
      <c r="J608" s="152"/>
      <c r="K608" s="152"/>
      <c r="L608" s="152"/>
      <c r="M608" s="131"/>
    </row>
    <row r="609" spans="1:13" ht="26.25">
      <c r="A609" s="84"/>
      <c r="B609" s="94" t="s">
        <v>29</v>
      </c>
      <c r="C609" s="48" t="s">
        <v>92</v>
      </c>
      <c r="D609" s="60">
        <v>7500000</v>
      </c>
      <c r="E609" s="120">
        <v>0</v>
      </c>
      <c r="F609" s="132">
        <v>0</v>
      </c>
      <c r="G609" s="199">
        <v>7500000</v>
      </c>
      <c r="H609" s="301">
        <f>G609/D609*100</f>
        <v>100</v>
      </c>
      <c r="I609" s="192">
        <f>G609</f>
        <v>7500000</v>
      </c>
      <c r="J609" s="301">
        <f t="shared" ref="J609" si="225">I609/D609*100</f>
        <v>100</v>
      </c>
      <c r="K609" s="339">
        <f>5/12</f>
        <v>0.41666666666666669</v>
      </c>
      <c r="L609" s="311">
        <f>J609</f>
        <v>100</v>
      </c>
      <c r="M609" s="131"/>
    </row>
    <row r="610" spans="1:13" ht="26.25">
      <c r="A610" s="84"/>
      <c r="B610" s="94" t="s">
        <v>83</v>
      </c>
      <c r="C610" s="48" t="s">
        <v>93</v>
      </c>
      <c r="D610" s="62">
        <v>10000000</v>
      </c>
      <c r="E610" s="121">
        <v>0</v>
      </c>
      <c r="F610" s="133">
        <v>0</v>
      </c>
      <c r="G610" s="200">
        <v>10000000</v>
      </c>
      <c r="H610" s="301">
        <f>G610/D610*100</f>
        <v>100</v>
      </c>
      <c r="I610" s="200">
        <f>G610</f>
        <v>10000000</v>
      </c>
      <c r="J610" s="301">
        <f>I610/D610*100</f>
        <v>100</v>
      </c>
      <c r="K610" s="355">
        <f>5/12</f>
        <v>0.41666666666666669</v>
      </c>
      <c r="L610" s="311">
        <f>J610</f>
        <v>100</v>
      </c>
      <c r="M610" s="131"/>
    </row>
    <row r="611" spans="1:13">
      <c r="A611" s="93"/>
      <c r="B611" s="64"/>
      <c r="C611" s="65" t="s">
        <v>45</v>
      </c>
      <c r="D611" s="66">
        <f>SUM(D609:D610)</f>
        <v>17500000</v>
      </c>
      <c r="E611" s="66">
        <f t="shared" ref="E611:F611" si="226">SUM(E609:E610)</f>
        <v>0</v>
      </c>
      <c r="F611" s="66">
        <f t="shared" si="226"/>
        <v>0</v>
      </c>
      <c r="G611" s="122">
        <f>SUM(G609:G610)</f>
        <v>17500000</v>
      </c>
      <c r="H611" s="302">
        <f>G611/D611*100</f>
        <v>100</v>
      </c>
      <c r="I611" s="122">
        <f t="shared" ref="I611" si="227">SUM(I609:I610)</f>
        <v>17500000</v>
      </c>
      <c r="J611" s="302">
        <f>I611/D611*100</f>
        <v>100</v>
      </c>
      <c r="K611" s="350">
        <f>5/12</f>
        <v>0.41666666666666669</v>
      </c>
      <c r="L611" s="302">
        <f>SUM(L610:L610)</f>
        <v>100</v>
      </c>
      <c r="M611" s="66"/>
    </row>
    <row r="612" spans="1:13">
      <c r="A612" s="99">
        <v>26</v>
      </c>
      <c r="B612" s="104" t="s">
        <v>105</v>
      </c>
      <c r="C612" s="105"/>
      <c r="D612" s="57"/>
      <c r="E612" s="119"/>
      <c r="F612" s="131"/>
      <c r="G612" s="119"/>
      <c r="H612" s="152"/>
      <c r="I612" s="119"/>
      <c r="J612" s="152"/>
      <c r="K612" s="152"/>
      <c r="L612" s="152"/>
      <c r="M612" s="131"/>
    </row>
    <row r="613" spans="1:13">
      <c r="A613" s="44"/>
      <c r="B613" s="47" t="s">
        <v>84</v>
      </c>
      <c r="C613" s="48" t="s">
        <v>106</v>
      </c>
      <c r="D613" s="60">
        <v>5000000</v>
      </c>
      <c r="E613" s="120" t="s">
        <v>132</v>
      </c>
      <c r="F613" s="132">
        <v>0</v>
      </c>
      <c r="G613" s="120" t="s">
        <v>132</v>
      </c>
      <c r="H613" s="59" t="s">
        <v>132</v>
      </c>
      <c r="I613" s="120">
        <v>0</v>
      </c>
      <c r="J613" s="59" t="s">
        <v>132</v>
      </c>
      <c r="K613" s="157">
        <v>0</v>
      </c>
      <c r="L613" s="59">
        <v>0</v>
      </c>
      <c r="M613" s="132"/>
    </row>
    <row r="614" spans="1:13">
      <c r="A614" s="63"/>
      <c r="B614" s="64"/>
      <c r="C614" s="65" t="s">
        <v>45</v>
      </c>
      <c r="D614" s="66">
        <f>SUM(D613)</f>
        <v>5000000</v>
      </c>
      <c r="E614" s="66">
        <v>0</v>
      </c>
      <c r="F614" s="66">
        <f t="shared" ref="F614" si="228">SUM(F611:F613)</f>
        <v>0</v>
      </c>
      <c r="G614" s="122" t="s">
        <v>132</v>
      </c>
      <c r="H614" s="66" t="s">
        <v>132</v>
      </c>
      <c r="I614" s="122" t="s">
        <v>132</v>
      </c>
      <c r="J614" s="66" t="s">
        <v>132</v>
      </c>
      <c r="K614" s="66">
        <f>SUM(K613)</f>
        <v>0</v>
      </c>
      <c r="L614" s="66">
        <v>0</v>
      </c>
      <c r="M614" s="66"/>
    </row>
    <row r="615" spans="1:13">
      <c r="A615" s="99">
        <v>16</v>
      </c>
      <c r="B615" s="104" t="s">
        <v>123</v>
      </c>
      <c r="C615" s="105"/>
      <c r="D615" s="57"/>
      <c r="E615" s="119"/>
      <c r="F615" s="131"/>
      <c r="G615" s="119"/>
      <c r="H615" s="152"/>
      <c r="I615" s="119"/>
      <c r="J615" s="152"/>
      <c r="K615" s="152"/>
      <c r="L615" s="152"/>
      <c r="M615" s="131"/>
    </row>
    <row r="616" spans="1:13">
      <c r="A616" s="84"/>
      <c r="B616" s="185" t="s">
        <v>124</v>
      </c>
      <c r="C616" s="186"/>
      <c r="D616" s="182"/>
      <c r="E616" s="124"/>
      <c r="F616" s="131"/>
      <c r="G616" s="131"/>
      <c r="H616" s="152"/>
      <c r="I616" s="131"/>
      <c r="J616" s="152"/>
      <c r="K616" s="152"/>
      <c r="L616" s="152"/>
      <c r="M616" s="152"/>
    </row>
    <row r="617" spans="1:13" ht="26.25">
      <c r="A617" s="44"/>
      <c r="B617" s="282" t="s">
        <v>46</v>
      </c>
      <c r="C617" s="50" t="s">
        <v>217</v>
      </c>
      <c r="D617" s="60">
        <v>27000000</v>
      </c>
      <c r="E617" s="125">
        <v>0</v>
      </c>
      <c r="F617" s="135">
        <v>0</v>
      </c>
      <c r="G617" s="124">
        <v>0</v>
      </c>
      <c r="H617" s="59" t="s">
        <v>132</v>
      </c>
      <c r="I617" s="124">
        <v>0</v>
      </c>
      <c r="J617" s="59" t="s">
        <v>132</v>
      </c>
      <c r="K617" s="59">
        <v>0</v>
      </c>
      <c r="L617" s="59">
        <v>0</v>
      </c>
      <c r="M617" s="59"/>
    </row>
    <row r="618" spans="1:13">
      <c r="A618" s="44"/>
      <c r="B618" s="163" t="s">
        <v>111</v>
      </c>
      <c r="C618" s="204" t="s">
        <v>81</v>
      </c>
      <c r="D618" s="205">
        <v>3000000</v>
      </c>
      <c r="E618" s="125">
        <v>0</v>
      </c>
      <c r="F618" s="135">
        <v>0</v>
      </c>
      <c r="G618" s="201" t="s">
        <v>132</v>
      </c>
      <c r="H618" s="187" t="s">
        <v>132</v>
      </c>
      <c r="I618" s="201" t="s">
        <v>132</v>
      </c>
      <c r="J618" s="187" t="s">
        <v>132</v>
      </c>
      <c r="K618" s="212">
        <v>0</v>
      </c>
      <c r="L618" s="187"/>
      <c r="M618" s="188"/>
    </row>
    <row r="619" spans="1:13">
      <c r="A619" s="63"/>
      <c r="B619" s="64"/>
      <c r="C619" s="65" t="s">
        <v>45</v>
      </c>
      <c r="D619" s="66">
        <f>SUM(D617:D618)</f>
        <v>30000000</v>
      </c>
      <c r="E619" s="66">
        <f>SUM(E617:E618)</f>
        <v>0</v>
      </c>
      <c r="F619" s="66">
        <f>SUM(F617:F618)</f>
        <v>0</v>
      </c>
      <c r="G619" s="122" t="s">
        <v>132</v>
      </c>
      <c r="H619" s="66" t="s">
        <v>132</v>
      </c>
      <c r="I619" s="122">
        <f>SUM(I617:I618)</f>
        <v>0</v>
      </c>
      <c r="J619" s="66" t="s">
        <v>132</v>
      </c>
      <c r="K619" s="66">
        <f>SUM(K617:K618)</f>
        <v>0</v>
      </c>
      <c r="L619" s="66">
        <f>SUM(L617:L618)</f>
        <v>0</v>
      </c>
      <c r="M619" s="66"/>
    </row>
    <row r="620" spans="1:13">
      <c r="A620" s="99">
        <v>17</v>
      </c>
      <c r="B620" s="104" t="s">
        <v>127</v>
      </c>
      <c r="C620" s="105"/>
      <c r="D620" s="57"/>
      <c r="E620" s="119"/>
      <c r="F620" s="131"/>
      <c r="G620" s="119"/>
      <c r="H620" s="152"/>
      <c r="I620" s="119"/>
      <c r="J620" s="152"/>
      <c r="K620" s="152"/>
      <c r="L620" s="152"/>
      <c r="M620" s="131"/>
    </row>
    <row r="621" spans="1:13" ht="26.25">
      <c r="A621" s="44"/>
      <c r="B621" s="47" t="s">
        <v>84</v>
      </c>
      <c r="C621" s="48" t="s">
        <v>128</v>
      </c>
      <c r="D621" s="60">
        <v>10000000</v>
      </c>
      <c r="E621" s="120">
        <v>0</v>
      </c>
      <c r="F621" s="132">
        <v>0</v>
      </c>
      <c r="G621" s="120" t="s">
        <v>132</v>
      </c>
      <c r="H621" s="59" t="s">
        <v>132</v>
      </c>
      <c r="I621" s="120">
        <v>0</v>
      </c>
      <c r="J621" s="59" t="s">
        <v>132</v>
      </c>
      <c r="K621" s="157">
        <v>0</v>
      </c>
      <c r="L621" s="59">
        <v>0</v>
      </c>
      <c r="M621" s="132"/>
    </row>
    <row r="622" spans="1:13">
      <c r="A622" s="63"/>
      <c r="B622" s="64"/>
      <c r="C622" s="65" t="s">
        <v>45</v>
      </c>
      <c r="D622" s="66">
        <f>SUM(D621)</f>
        <v>10000000</v>
      </c>
      <c r="E622" s="66">
        <f t="shared" ref="E622:F622" si="229">SUM(E619:E621)</f>
        <v>0</v>
      </c>
      <c r="F622" s="66">
        <f t="shared" si="229"/>
        <v>0</v>
      </c>
      <c r="G622" s="122" t="s">
        <v>132</v>
      </c>
      <c r="H622" s="66" t="s">
        <v>132</v>
      </c>
      <c r="I622" s="122" t="s">
        <v>132</v>
      </c>
      <c r="J622" s="66" t="s">
        <v>132</v>
      </c>
      <c r="K622" s="66">
        <f>SUM(K621)</f>
        <v>0</v>
      </c>
      <c r="L622" s="66">
        <v>0</v>
      </c>
      <c r="M622" s="66"/>
    </row>
    <row r="623" spans="1:13">
      <c r="A623" s="44">
        <v>18</v>
      </c>
      <c r="B623" s="104" t="s">
        <v>218</v>
      </c>
      <c r="C623" s="105"/>
      <c r="D623" s="70"/>
      <c r="E623" s="70"/>
      <c r="F623" s="70"/>
      <c r="G623" s="287"/>
      <c r="H623" s="70"/>
      <c r="I623" s="287"/>
      <c r="J623" s="70"/>
      <c r="K623" s="70"/>
      <c r="L623" s="70"/>
      <c r="M623" s="70"/>
    </row>
    <row r="624" spans="1:13" ht="25.5">
      <c r="A624" s="44"/>
      <c r="B624" s="283" t="s">
        <v>83</v>
      </c>
      <c r="C624" s="284" t="s">
        <v>219</v>
      </c>
      <c r="D624" s="288">
        <v>50000000</v>
      </c>
      <c r="E624" s="285">
        <v>0</v>
      </c>
      <c r="F624" s="285">
        <v>0</v>
      </c>
      <c r="G624" s="286">
        <v>0</v>
      </c>
      <c r="H624" s="285">
        <v>0</v>
      </c>
      <c r="I624" s="286">
        <v>0</v>
      </c>
      <c r="J624" s="285">
        <v>0</v>
      </c>
      <c r="K624" s="157">
        <v>0</v>
      </c>
      <c r="L624" s="285">
        <v>0</v>
      </c>
      <c r="M624" s="285"/>
    </row>
    <row r="625" spans="1:13">
      <c r="A625" s="63"/>
      <c r="B625" s="64"/>
      <c r="C625" s="65" t="s">
        <v>45</v>
      </c>
      <c r="D625" s="66">
        <f>SUM(D624)</f>
        <v>50000000</v>
      </c>
      <c r="E625" s="66">
        <v>0</v>
      </c>
      <c r="F625" s="66">
        <v>0</v>
      </c>
      <c r="G625" s="122">
        <v>0</v>
      </c>
      <c r="H625" s="66">
        <v>0</v>
      </c>
      <c r="I625" s="122">
        <v>0</v>
      </c>
      <c r="J625" s="66">
        <v>0</v>
      </c>
      <c r="K625" s="66">
        <f>SUM(K624)</f>
        <v>0</v>
      </c>
      <c r="L625" s="66">
        <v>0</v>
      </c>
      <c r="M625" s="66"/>
    </row>
    <row r="626" spans="1:13">
      <c r="A626" s="44">
        <v>24</v>
      </c>
      <c r="B626" s="104" t="s">
        <v>221</v>
      </c>
      <c r="C626" s="105"/>
      <c r="D626" s="70"/>
      <c r="E626" s="70"/>
      <c r="F626" s="70"/>
      <c r="G626" s="287"/>
      <c r="H626" s="70"/>
      <c r="I626" s="287"/>
      <c r="J626" s="70"/>
      <c r="K626" s="70"/>
      <c r="L626" s="70"/>
      <c r="M626" s="70"/>
    </row>
    <row r="627" spans="1:13">
      <c r="A627" s="44"/>
      <c r="B627" s="283" t="s">
        <v>83</v>
      </c>
      <c r="C627" s="284" t="s">
        <v>222</v>
      </c>
      <c r="D627" s="288">
        <v>50000000</v>
      </c>
      <c r="E627" s="285">
        <v>0</v>
      </c>
      <c r="F627" s="285">
        <v>0</v>
      </c>
      <c r="G627" s="286">
        <v>0</v>
      </c>
      <c r="H627" s="285">
        <v>0</v>
      </c>
      <c r="I627" s="286">
        <v>0</v>
      </c>
      <c r="J627" s="285">
        <v>0</v>
      </c>
      <c r="K627" s="157">
        <v>0</v>
      </c>
      <c r="L627" s="285">
        <v>0</v>
      </c>
      <c r="M627" s="285"/>
    </row>
    <row r="628" spans="1:13">
      <c r="A628" s="63"/>
      <c r="B628" s="64"/>
      <c r="C628" s="65" t="s">
        <v>45</v>
      </c>
      <c r="D628" s="66">
        <f>SUM(D627)</f>
        <v>50000000</v>
      </c>
      <c r="E628" s="66">
        <v>0</v>
      </c>
      <c r="F628" s="66">
        <v>0</v>
      </c>
      <c r="G628" s="122">
        <v>0</v>
      </c>
      <c r="H628" s="66">
        <v>0</v>
      </c>
      <c r="I628" s="122">
        <v>0</v>
      </c>
      <c r="J628" s="66">
        <v>0</v>
      </c>
      <c r="K628" s="66">
        <f>SUM(K627)</f>
        <v>0</v>
      </c>
      <c r="L628" s="66">
        <v>0</v>
      </c>
      <c r="M628" s="66"/>
    </row>
    <row r="629" spans="1:13" ht="15.75" thickBot="1">
      <c r="A629" s="166"/>
      <c r="B629" s="167" t="s">
        <v>85</v>
      </c>
      <c r="C629" s="106"/>
      <c r="D629" s="107">
        <f>D523+D520</f>
        <v>3251325000</v>
      </c>
      <c r="E629" s="107">
        <f>E523+E520</f>
        <v>0</v>
      </c>
      <c r="F629" s="107">
        <f>F523+F520</f>
        <v>0</v>
      </c>
      <c r="G629" s="107">
        <f>G520+G523</f>
        <v>1151968192</v>
      </c>
      <c r="H629" s="213">
        <f>G629/D629*100</f>
        <v>35.430730302261388</v>
      </c>
      <c r="I629" s="107">
        <f>I523+I520</f>
        <v>1151968192</v>
      </c>
      <c r="J629" s="213">
        <f>I629/D629*100</f>
        <v>35.430730302261388</v>
      </c>
      <c r="K629" s="425">
        <f>5/12</f>
        <v>0.41666666666666669</v>
      </c>
      <c r="L629" s="213">
        <f>J629</f>
        <v>35.430730302261388</v>
      </c>
      <c r="M629" s="158"/>
    </row>
    <row r="630" spans="1:13" ht="15.75" thickTop="1">
      <c r="A630" s="342"/>
      <c r="B630" s="343"/>
      <c r="C630" s="344"/>
      <c r="D630" s="345"/>
      <c r="E630" s="345"/>
      <c r="F630" s="345"/>
      <c r="G630" s="345"/>
      <c r="H630" s="346"/>
      <c r="I630" s="345"/>
      <c r="J630" s="346"/>
      <c r="K630" s="347"/>
      <c r="L630" s="346"/>
      <c r="M630" s="348"/>
    </row>
    <row r="631" spans="1:13">
      <c r="A631" s="168"/>
      <c r="B631" s="169"/>
      <c r="C631" s="170"/>
      <c r="D631" s="171"/>
      <c r="E631" s="108"/>
      <c r="H631" s="128"/>
      <c r="I631" s="159" t="s">
        <v>486</v>
      </c>
      <c r="J631" s="128"/>
      <c r="L631" s="128"/>
      <c r="M631" s="128"/>
    </row>
    <row r="632" spans="1:13">
      <c r="A632" s="172"/>
      <c r="B632" s="169"/>
      <c r="C632" s="173"/>
      <c r="D632" s="171"/>
      <c r="E632" s="174"/>
      <c r="H632" s="128"/>
      <c r="I632" s="159" t="s">
        <v>86</v>
      </c>
      <c r="J632" s="128"/>
      <c r="L632" s="128"/>
      <c r="M632" s="128"/>
    </row>
    <row r="633" spans="1:13">
      <c r="A633" s="172"/>
      <c r="B633" s="169"/>
      <c r="C633" s="173"/>
      <c r="D633" s="171"/>
      <c r="E633" s="174"/>
      <c r="H633" s="128"/>
      <c r="I633" s="159"/>
      <c r="J633" s="128"/>
      <c r="L633" s="128"/>
      <c r="M633" s="128"/>
    </row>
    <row r="634" spans="1:13">
      <c r="A634" s="172"/>
      <c r="B634" s="169"/>
      <c r="C634" s="173"/>
      <c r="D634" s="171"/>
      <c r="E634" s="108"/>
      <c r="H634" s="128"/>
      <c r="I634" s="159"/>
      <c r="J634" s="128"/>
      <c r="L634" s="128"/>
      <c r="M634" s="128"/>
    </row>
    <row r="635" spans="1:13">
      <c r="A635" s="175"/>
      <c r="B635" s="176"/>
      <c r="C635" s="177"/>
      <c r="D635" s="171"/>
      <c r="E635" s="108"/>
      <c r="G635" s="128" t="s">
        <v>227</v>
      </c>
      <c r="H635" s="128"/>
      <c r="I635" s="160" t="s">
        <v>120</v>
      </c>
      <c r="J635" s="128"/>
      <c r="L635" s="128"/>
      <c r="M635" s="128"/>
    </row>
    <row r="636" spans="1:13">
      <c r="A636" s="175"/>
      <c r="B636" s="176"/>
      <c r="C636" s="177"/>
      <c r="D636" s="175"/>
      <c r="E636" s="108"/>
      <c r="H636" s="128"/>
      <c r="I636" s="159" t="s">
        <v>108</v>
      </c>
      <c r="J636" s="128"/>
      <c r="L636" s="128"/>
      <c r="M636" s="128"/>
    </row>
    <row r="637" spans="1:13">
      <c r="A637" s="175"/>
      <c r="B637" s="176"/>
      <c r="C637" s="177"/>
      <c r="D637" s="175"/>
      <c r="E637" s="108"/>
      <c r="H637" s="128"/>
      <c r="I637" s="159" t="s">
        <v>121</v>
      </c>
      <c r="J637" s="128"/>
      <c r="L637" s="128"/>
      <c r="M637" s="128"/>
    </row>
    <row r="638" spans="1:13" ht="15.75">
      <c r="A638" s="832" t="s">
        <v>223</v>
      </c>
      <c r="B638" s="832"/>
      <c r="C638" s="832"/>
      <c r="D638" s="832"/>
      <c r="E638" s="832"/>
      <c r="F638" s="832"/>
      <c r="G638" s="832"/>
      <c r="H638" s="832"/>
      <c r="I638" s="832"/>
      <c r="J638" s="832"/>
      <c r="K638" s="832"/>
      <c r="L638" s="832"/>
      <c r="M638" s="832"/>
    </row>
    <row r="639" spans="1:13" ht="15.75">
      <c r="A639" s="832" t="s">
        <v>224</v>
      </c>
      <c r="B639" s="832"/>
      <c r="C639" s="832"/>
      <c r="D639" s="832"/>
      <c r="E639" s="832"/>
      <c r="F639" s="832"/>
      <c r="G639" s="832"/>
      <c r="H639" s="832"/>
      <c r="I639" s="832"/>
      <c r="J639" s="832"/>
      <c r="K639" s="832"/>
      <c r="L639" s="832"/>
      <c r="M639" s="832"/>
    </row>
    <row r="640" spans="1:13" ht="15.75">
      <c r="A640" s="517"/>
      <c r="B640" s="517"/>
      <c r="C640" s="517"/>
      <c r="D640" s="517"/>
      <c r="E640" s="517"/>
      <c r="F640" s="517"/>
      <c r="G640" s="303"/>
      <c r="H640" s="517"/>
      <c r="I640" s="517"/>
      <c r="J640" s="517"/>
      <c r="K640" s="303"/>
      <c r="L640" s="517"/>
      <c r="M640" s="517"/>
    </row>
    <row r="641" spans="1:13" ht="16.5">
      <c r="A641" s="1" t="s">
        <v>213</v>
      </c>
      <c r="B641" s="2"/>
      <c r="C641" s="3" t="s">
        <v>2</v>
      </c>
      <c r="E641" s="108"/>
      <c r="G641" s="304"/>
      <c r="H641" s="4"/>
      <c r="I641" s="5"/>
      <c r="J641" s="4"/>
      <c r="M641" s="4"/>
    </row>
    <row r="642" spans="1:13" ht="17.25" thickBot="1">
      <c r="A642" s="14" t="s">
        <v>225</v>
      </c>
      <c r="B642" s="14"/>
      <c r="C642" s="292" t="s">
        <v>487</v>
      </c>
      <c r="D642" s="129"/>
      <c r="E642" s="109"/>
      <c r="F642" s="129"/>
      <c r="G642" s="305"/>
      <c r="H642" s="14"/>
      <c r="I642" s="16"/>
      <c r="J642" s="14"/>
      <c r="K642" s="129"/>
      <c r="L642" s="15"/>
      <c r="M642" s="14"/>
    </row>
    <row r="643" spans="1:13" ht="15.75" thickTop="1">
      <c r="A643" s="833" t="s">
        <v>3</v>
      </c>
      <c r="B643" s="836" t="s">
        <v>4</v>
      </c>
      <c r="C643" s="837"/>
      <c r="D643" s="289" t="s">
        <v>5</v>
      </c>
      <c r="E643" s="110" t="s">
        <v>6</v>
      </c>
      <c r="F643" s="130"/>
      <c r="G643" s="842" t="s">
        <v>7</v>
      </c>
      <c r="H643" s="843"/>
      <c r="I643" s="843"/>
      <c r="J643" s="843"/>
      <c r="K643" s="844" t="s">
        <v>8</v>
      </c>
      <c r="L643" s="844"/>
      <c r="M643" s="833" t="s">
        <v>9</v>
      </c>
    </row>
    <row r="644" spans="1:13">
      <c r="A644" s="834"/>
      <c r="B644" s="838"/>
      <c r="C644" s="839"/>
      <c r="D644" s="290" t="s">
        <v>10</v>
      </c>
      <c r="E644" s="111" t="s">
        <v>11</v>
      </c>
      <c r="F644" s="111" t="s">
        <v>12</v>
      </c>
      <c r="G644" s="111" t="s">
        <v>13</v>
      </c>
      <c r="H644" s="845" t="s">
        <v>14</v>
      </c>
      <c r="I644" s="6" t="s">
        <v>15</v>
      </c>
      <c r="J644" s="846" t="s">
        <v>14</v>
      </c>
      <c r="K644" s="321" t="s">
        <v>16</v>
      </c>
      <c r="L644" s="7" t="s">
        <v>17</v>
      </c>
      <c r="M644" s="834"/>
    </row>
    <row r="645" spans="1:13">
      <c r="A645" s="835"/>
      <c r="B645" s="840"/>
      <c r="C645" s="841"/>
      <c r="D645" s="291" t="s">
        <v>18</v>
      </c>
      <c r="E645" s="112" t="s">
        <v>18</v>
      </c>
      <c r="F645" s="112"/>
      <c r="G645" s="306" t="s">
        <v>19</v>
      </c>
      <c r="H645" s="835"/>
      <c r="I645" s="8" t="s">
        <v>19</v>
      </c>
      <c r="J645" s="847"/>
      <c r="K645" s="322" t="s">
        <v>233</v>
      </c>
      <c r="L645" s="9" t="s">
        <v>233</v>
      </c>
      <c r="M645" s="835"/>
    </row>
    <row r="646" spans="1:13" ht="15.75" thickBot="1">
      <c r="A646" s="17">
        <v>1</v>
      </c>
      <c r="B646" s="828">
        <v>2</v>
      </c>
      <c r="C646" s="829"/>
      <c r="D646" s="113">
        <v>3</v>
      </c>
      <c r="E646" s="113">
        <v>4</v>
      </c>
      <c r="F646" s="113">
        <v>5</v>
      </c>
      <c r="G646" s="113">
        <v>6</v>
      </c>
      <c r="H646" s="18">
        <v>7</v>
      </c>
      <c r="I646" s="18">
        <v>8</v>
      </c>
      <c r="J646" s="18">
        <v>9</v>
      </c>
      <c r="K646" s="113">
        <v>10</v>
      </c>
      <c r="L646" s="18">
        <v>11</v>
      </c>
      <c r="M646" s="18">
        <v>12</v>
      </c>
    </row>
    <row r="647" spans="1:13" ht="15.75" thickBot="1">
      <c r="A647" s="35" t="s">
        <v>20</v>
      </c>
      <c r="B647" s="36" t="s">
        <v>21</v>
      </c>
      <c r="C647" s="37"/>
      <c r="D647" s="30">
        <f>D648+D649</f>
        <v>2257113000</v>
      </c>
      <c r="E647" s="30">
        <f>E648</f>
        <v>0</v>
      </c>
      <c r="F647" s="30">
        <v>0</v>
      </c>
      <c r="G647" s="30">
        <f>G648+G649</f>
        <v>894675763</v>
      </c>
      <c r="H647" s="214">
        <f>G647/D647*100</f>
        <v>39.638058130009441</v>
      </c>
      <c r="I647" s="30">
        <f>G647</f>
        <v>894675763</v>
      </c>
      <c r="J647" s="217">
        <f>I647/D647*100</f>
        <v>39.638058130009441</v>
      </c>
      <c r="K647" s="332">
        <f>5/12</f>
        <v>0.41666666666666669</v>
      </c>
      <c r="L647" s="215">
        <f>J647</f>
        <v>39.638058130009441</v>
      </c>
      <c r="M647" s="53"/>
    </row>
    <row r="648" spans="1:13" ht="15.75" thickBot="1">
      <c r="A648" s="38" t="s">
        <v>22</v>
      </c>
      <c r="B648" s="39" t="s">
        <v>23</v>
      </c>
      <c r="C648" s="40"/>
      <c r="D648" s="31">
        <v>1872153000</v>
      </c>
      <c r="E648" s="114">
        <v>0</v>
      </c>
      <c r="F648" s="30">
        <v>0</v>
      </c>
      <c r="G648" s="30">
        <v>791925763</v>
      </c>
      <c r="H648" s="214">
        <f>G648/D648*100</f>
        <v>42.300269422424343</v>
      </c>
      <c r="I648" s="296">
        <f>G648</f>
        <v>791925763</v>
      </c>
      <c r="J648" s="217">
        <f>I648/D648*100</f>
        <v>42.300269422424343</v>
      </c>
      <c r="K648" s="332">
        <f t="shared" ref="K648:K650" si="230">5/12</f>
        <v>0.41666666666666669</v>
      </c>
      <c r="L648" s="215">
        <f>J648</f>
        <v>42.300269422424343</v>
      </c>
      <c r="M648" s="146"/>
    </row>
    <row r="649" spans="1:13" ht="15.75" thickBot="1">
      <c r="A649" s="139"/>
      <c r="B649" s="140" t="s">
        <v>107</v>
      </c>
      <c r="C649" s="141"/>
      <c r="D649" s="31">
        <v>384960000</v>
      </c>
      <c r="E649" s="114">
        <v>0</v>
      </c>
      <c r="F649" s="30">
        <v>0</v>
      </c>
      <c r="G649" s="351">
        <v>102750000</v>
      </c>
      <c r="H649" s="214">
        <f>G649/D649*100</f>
        <v>26.691084788029922</v>
      </c>
      <c r="I649" s="296">
        <f>G649</f>
        <v>102750000</v>
      </c>
      <c r="J649" s="217">
        <f>I649/D649*100</f>
        <v>26.691084788029922</v>
      </c>
      <c r="K649" s="332">
        <f t="shared" si="230"/>
        <v>0.41666666666666669</v>
      </c>
      <c r="L649" s="215">
        <f>J649</f>
        <v>26.691084788029922</v>
      </c>
      <c r="M649" s="149"/>
    </row>
    <row r="650" spans="1:13" ht="15.75" thickBot="1">
      <c r="A650" s="35" t="s">
        <v>24</v>
      </c>
      <c r="B650" s="36" t="s">
        <v>25</v>
      </c>
      <c r="C650" s="37"/>
      <c r="D650" s="30">
        <f>D667+D677+D680+D684+D687+D690+D696+D699+D703+D706+D710+D713+D716+D719+D723+D726+D729+D734+D738+D741+D746+D749+D752+D755</f>
        <v>994212000</v>
      </c>
      <c r="E650" s="30">
        <v>0</v>
      </c>
      <c r="F650" s="30">
        <v>0</v>
      </c>
      <c r="G650" s="30">
        <f>G667+G677+G706+G710+G726+G729+G716+G719+G723+G738+G690+G703+G734+G687</f>
        <v>464225698</v>
      </c>
      <c r="H650" s="215">
        <f>G650/D650*100</f>
        <v>46.692827887814673</v>
      </c>
      <c r="I650" s="296">
        <f>G650</f>
        <v>464225698</v>
      </c>
      <c r="J650" s="217">
        <f>I650/D650*100</f>
        <v>46.692827887814673</v>
      </c>
      <c r="K650" s="332">
        <f t="shared" si="230"/>
        <v>0.41666666666666669</v>
      </c>
      <c r="L650" s="215">
        <f>J650</f>
        <v>46.692827887814673</v>
      </c>
      <c r="M650" s="30"/>
    </row>
    <row r="651" spans="1:13">
      <c r="A651" s="41" t="s">
        <v>26</v>
      </c>
      <c r="B651" s="42" t="s">
        <v>27</v>
      </c>
      <c r="C651" s="43"/>
      <c r="D651" s="32"/>
      <c r="E651" s="115"/>
      <c r="F651" s="32"/>
      <c r="G651" s="150"/>
      <c r="H651" s="151"/>
      <c r="I651" s="191"/>
      <c r="J651" s="150"/>
      <c r="K651" s="32"/>
      <c r="L651" s="32"/>
      <c r="M651" s="32"/>
    </row>
    <row r="652" spans="1:13">
      <c r="A652" s="44"/>
      <c r="B652" s="45" t="s">
        <v>26</v>
      </c>
      <c r="C652" s="46" t="s">
        <v>28</v>
      </c>
      <c r="D652" s="525">
        <v>6000000</v>
      </c>
      <c r="E652" s="116">
        <v>0</v>
      </c>
      <c r="F652" s="131">
        <v>0</v>
      </c>
      <c r="G652" s="192">
        <f>999000+501000+250000</f>
        <v>1750000</v>
      </c>
      <c r="H652" s="299">
        <f>G652/D652*100</f>
        <v>29.166666666666668</v>
      </c>
      <c r="I652" s="192">
        <f>G652</f>
        <v>1750000</v>
      </c>
      <c r="J652" s="301">
        <f>H652</f>
        <v>29.166666666666668</v>
      </c>
      <c r="K652" s="331">
        <f>5/12</f>
        <v>0.41666666666666669</v>
      </c>
      <c r="L652" s="311">
        <f>J652</f>
        <v>29.166666666666668</v>
      </c>
      <c r="M652" s="131"/>
    </row>
    <row r="653" spans="1:13">
      <c r="A653" s="44"/>
      <c r="B653" s="47" t="s">
        <v>29</v>
      </c>
      <c r="C653" s="48" t="s">
        <v>30</v>
      </c>
      <c r="D653" s="34">
        <v>8000000</v>
      </c>
      <c r="E653" s="297">
        <v>0</v>
      </c>
      <c r="F653" s="132">
        <v>0</v>
      </c>
      <c r="G653" s="192">
        <v>1310678</v>
      </c>
      <c r="H653" s="299">
        <f t="shared" ref="H653:H666" si="231">G653/D653*100</f>
        <v>16.383475000000001</v>
      </c>
      <c r="I653" s="192">
        <f>G653</f>
        <v>1310678</v>
      </c>
      <c r="J653" s="301">
        <f>I653/D653*100</f>
        <v>16.383475000000001</v>
      </c>
      <c r="K653" s="331">
        <f t="shared" ref="K653:K666" si="232">5/12</f>
        <v>0.41666666666666669</v>
      </c>
      <c r="L653" s="311">
        <f t="shared" ref="L653:L666" si="233">J653</f>
        <v>16.383475000000001</v>
      </c>
      <c r="M653" s="132"/>
    </row>
    <row r="654" spans="1:13">
      <c r="A654" s="44"/>
      <c r="B654" s="47" t="s">
        <v>29</v>
      </c>
      <c r="C654" s="48" t="s">
        <v>31</v>
      </c>
      <c r="D654" s="34">
        <v>5000000</v>
      </c>
      <c r="E654" s="297">
        <v>0</v>
      </c>
      <c r="F654" s="132">
        <v>0</v>
      </c>
      <c r="G654" s="192">
        <v>1618600</v>
      </c>
      <c r="H654" s="299">
        <f t="shared" si="231"/>
        <v>32.372</v>
      </c>
      <c r="I654" s="192">
        <f t="shared" ref="I654:I655" si="234">G654</f>
        <v>1618600</v>
      </c>
      <c r="J654" s="301">
        <f t="shared" ref="J654:J663" si="235">I654/D654*100</f>
        <v>32.372</v>
      </c>
      <c r="K654" s="331">
        <f t="shared" si="232"/>
        <v>0.41666666666666669</v>
      </c>
      <c r="L654" s="311">
        <f t="shared" si="233"/>
        <v>32.372</v>
      </c>
      <c r="M654" s="132"/>
    </row>
    <row r="655" spans="1:13">
      <c r="A655" s="44"/>
      <c r="B655" s="47" t="s">
        <v>29</v>
      </c>
      <c r="C655" s="48" t="s">
        <v>32</v>
      </c>
      <c r="D655" s="34">
        <v>12000000</v>
      </c>
      <c r="E655" s="297">
        <v>0</v>
      </c>
      <c r="F655" s="132">
        <v>0</v>
      </c>
      <c r="G655" s="192">
        <v>3204120</v>
      </c>
      <c r="H655" s="299">
        <f t="shared" si="231"/>
        <v>26.701000000000004</v>
      </c>
      <c r="I655" s="192">
        <f t="shared" si="234"/>
        <v>3204120</v>
      </c>
      <c r="J655" s="301">
        <f t="shared" si="235"/>
        <v>26.701000000000004</v>
      </c>
      <c r="K655" s="331">
        <f t="shared" si="232"/>
        <v>0.41666666666666669</v>
      </c>
      <c r="L655" s="311">
        <f t="shared" si="233"/>
        <v>26.701000000000004</v>
      </c>
      <c r="M655" s="132"/>
    </row>
    <row r="656" spans="1:13">
      <c r="A656" s="44"/>
      <c r="B656" s="47" t="s">
        <v>33</v>
      </c>
      <c r="C656" s="48" t="s">
        <v>34</v>
      </c>
      <c r="D656" s="34">
        <v>12105000</v>
      </c>
      <c r="E656" s="117">
        <v>0</v>
      </c>
      <c r="F656" s="132">
        <v>0</v>
      </c>
      <c r="G656" s="192">
        <v>4000000</v>
      </c>
      <c r="H656" s="299">
        <f t="shared" si="231"/>
        <v>33.044196612969841</v>
      </c>
      <c r="I656" s="192">
        <f>G656</f>
        <v>4000000</v>
      </c>
      <c r="J656" s="301">
        <f t="shared" si="235"/>
        <v>33.044196612969841</v>
      </c>
      <c r="K656" s="331">
        <f t="shared" si="232"/>
        <v>0.41666666666666669</v>
      </c>
      <c r="L656" s="311">
        <f t="shared" si="233"/>
        <v>33.044196612969841</v>
      </c>
      <c r="M656" s="132"/>
    </row>
    <row r="657" spans="1:13">
      <c r="A657" s="44"/>
      <c r="B657" s="47">
        <v>10</v>
      </c>
      <c r="C657" s="48" t="s">
        <v>35</v>
      </c>
      <c r="D657" s="34">
        <v>11895000</v>
      </c>
      <c r="E657" s="117">
        <v>0</v>
      </c>
      <c r="F657" s="132">
        <v>0</v>
      </c>
      <c r="G657" s="192">
        <f>1500000+1000000+1000000</f>
        <v>3500000</v>
      </c>
      <c r="H657" s="299">
        <f t="shared" si="231"/>
        <v>29.424127784783522</v>
      </c>
      <c r="I657" s="192">
        <f t="shared" ref="I657:I660" si="236">G657</f>
        <v>3500000</v>
      </c>
      <c r="J657" s="301">
        <f t="shared" si="235"/>
        <v>29.424127784783522</v>
      </c>
      <c r="K657" s="331">
        <f t="shared" si="232"/>
        <v>0.41666666666666669</v>
      </c>
      <c r="L657" s="311">
        <f t="shared" si="233"/>
        <v>29.424127784783522</v>
      </c>
      <c r="M657" s="132"/>
    </row>
    <row r="658" spans="1:13">
      <c r="A658" s="44"/>
      <c r="B658" s="47">
        <v>11</v>
      </c>
      <c r="C658" s="48" t="s">
        <v>36</v>
      </c>
      <c r="D658" s="34">
        <v>6000000</v>
      </c>
      <c r="E658" s="117">
        <v>0</v>
      </c>
      <c r="F658" s="132">
        <v>0</v>
      </c>
      <c r="G658" s="192">
        <f>1000000+500000+750000</f>
        <v>2250000</v>
      </c>
      <c r="H658" s="299">
        <f t="shared" si="231"/>
        <v>37.5</v>
      </c>
      <c r="I658" s="192">
        <f t="shared" si="236"/>
        <v>2250000</v>
      </c>
      <c r="J658" s="301">
        <f t="shared" si="235"/>
        <v>37.5</v>
      </c>
      <c r="K658" s="331">
        <f t="shared" si="232"/>
        <v>0.41666666666666669</v>
      </c>
      <c r="L658" s="311">
        <f t="shared" si="233"/>
        <v>37.5</v>
      </c>
      <c r="M658" s="132"/>
    </row>
    <row r="659" spans="1:13">
      <c r="A659" s="44"/>
      <c r="B659" s="47">
        <v>11</v>
      </c>
      <c r="C659" s="48" t="s">
        <v>37</v>
      </c>
      <c r="D659" s="34">
        <v>18000000</v>
      </c>
      <c r="E659" s="117">
        <v>0</v>
      </c>
      <c r="F659" s="132">
        <v>0</v>
      </c>
      <c r="G659" s="192">
        <f>2525600+17850+34600+34000</f>
        <v>2612050</v>
      </c>
      <c r="H659" s="299">
        <f t="shared" si="231"/>
        <v>14.511388888888888</v>
      </c>
      <c r="I659" s="192">
        <f t="shared" si="236"/>
        <v>2612050</v>
      </c>
      <c r="J659" s="301">
        <f t="shared" si="235"/>
        <v>14.511388888888888</v>
      </c>
      <c r="K659" s="331">
        <f t="shared" si="232"/>
        <v>0.41666666666666669</v>
      </c>
      <c r="L659" s="311">
        <f t="shared" si="233"/>
        <v>14.511388888888888</v>
      </c>
      <c r="M659" s="132"/>
    </row>
    <row r="660" spans="1:13">
      <c r="A660" s="44"/>
      <c r="B660" s="47">
        <v>12</v>
      </c>
      <c r="C660" s="48" t="s">
        <v>38</v>
      </c>
      <c r="D660" s="34">
        <v>5000000</v>
      </c>
      <c r="E660" s="117">
        <v>0</v>
      </c>
      <c r="F660" s="132">
        <v>0</v>
      </c>
      <c r="G660" s="192">
        <v>1750000</v>
      </c>
      <c r="H660" s="299">
        <f t="shared" si="231"/>
        <v>35</v>
      </c>
      <c r="I660" s="192">
        <f t="shared" si="236"/>
        <v>1750000</v>
      </c>
      <c r="J660" s="301">
        <f t="shared" si="235"/>
        <v>35</v>
      </c>
      <c r="K660" s="331">
        <f t="shared" si="232"/>
        <v>0.41666666666666669</v>
      </c>
      <c r="L660" s="311">
        <f t="shared" si="233"/>
        <v>35</v>
      </c>
      <c r="M660" s="132"/>
    </row>
    <row r="661" spans="1:13">
      <c r="A661" s="44"/>
      <c r="B661" s="47">
        <v>13</v>
      </c>
      <c r="C661" s="48" t="s">
        <v>39</v>
      </c>
      <c r="D661" s="34">
        <v>5000000</v>
      </c>
      <c r="E661" s="117">
        <v>0</v>
      </c>
      <c r="F661" s="132">
        <v>0</v>
      </c>
      <c r="G661" s="192">
        <f>1000000+250000+500000</f>
        <v>1750000</v>
      </c>
      <c r="H661" s="299">
        <f t="shared" si="231"/>
        <v>35</v>
      </c>
      <c r="I661" s="192">
        <f>G661</f>
        <v>1750000</v>
      </c>
      <c r="J661" s="301">
        <f t="shared" si="235"/>
        <v>35</v>
      </c>
      <c r="K661" s="331">
        <f t="shared" si="232"/>
        <v>0.41666666666666669</v>
      </c>
      <c r="L661" s="311">
        <f t="shared" si="233"/>
        <v>35</v>
      </c>
      <c r="M661" s="132"/>
    </row>
    <row r="662" spans="1:13">
      <c r="A662" s="44"/>
      <c r="B662" s="47">
        <v>15</v>
      </c>
      <c r="C662" s="48" t="s">
        <v>40</v>
      </c>
      <c r="D662" s="34">
        <v>3000000</v>
      </c>
      <c r="E662" s="117">
        <v>0</v>
      </c>
      <c r="F662" s="132">
        <v>0</v>
      </c>
      <c r="G662" s="192">
        <f>260000+140000+260000</f>
        <v>660000</v>
      </c>
      <c r="H662" s="299">
        <f t="shared" si="231"/>
        <v>22</v>
      </c>
      <c r="I662" s="192">
        <f t="shared" ref="I662:I663" si="237">G662</f>
        <v>660000</v>
      </c>
      <c r="J662" s="301">
        <f t="shared" si="235"/>
        <v>22</v>
      </c>
      <c r="K662" s="331">
        <f t="shared" si="232"/>
        <v>0.41666666666666669</v>
      </c>
      <c r="L662" s="311">
        <f t="shared" si="233"/>
        <v>22</v>
      </c>
      <c r="M662" s="132"/>
    </row>
    <row r="663" spans="1:13">
      <c r="A663" s="44"/>
      <c r="B663" s="47">
        <v>17</v>
      </c>
      <c r="C663" s="48" t="s">
        <v>41</v>
      </c>
      <c r="D663" s="34">
        <v>5000000</v>
      </c>
      <c r="E663" s="117">
        <v>0</v>
      </c>
      <c r="F663" s="132">
        <v>0</v>
      </c>
      <c r="G663" s="192">
        <f>1000000+250000+750000</f>
        <v>2000000</v>
      </c>
      <c r="H663" s="299">
        <f t="shared" si="231"/>
        <v>40</v>
      </c>
      <c r="I663" s="192">
        <f t="shared" si="237"/>
        <v>2000000</v>
      </c>
      <c r="J663" s="301">
        <f t="shared" si="235"/>
        <v>40</v>
      </c>
      <c r="K663" s="331">
        <f t="shared" si="232"/>
        <v>0.41666666666666669</v>
      </c>
      <c r="L663" s="311">
        <f t="shared" si="233"/>
        <v>40</v>
      </c>
      <c r="M663" s="132"/>
    </row>
    <row r="664" spans="1:13">
      <c r="A664" s="44"/>
      <c r="B664" s="47">
        <v>17</v>
      </c>
      <c r="C664" s="48" t="s">
        <v>42</v>
      </c>
      <c r="D664" s="34">
        <v>7000000</v>
      </c>
      <c r="E664" s="117">
        <v>0</v>
      </c>
      <c r="F664" s="132">
        <v>0</v>
      </c>
      <c r="G664" s="192">
        <f>1200000+400000+1800000</f>
        <v>3400000</v>
      </c>
      <c r="H664" s="299">
        <f t="shared" si="231"/>
        <v>48.571428571428569</v>
      </c>
      <c r="I664" s="192">
        <f>G664</f>
        <v>3400000</v>
      </c>
      <c r="J664" s="301">
        <f>I664/D664*100</f>
        <v>48.571428571428569</v>
      </c>
      <c r="K664" s="331">
        <f t="shared" si="232"/>
        <v>0.41666666666666669</v>
      </c>
      <c r="L664" s="311">
        <f t="shared" si="233"/>
        <v>48.571428571428569</v>
      </c>
      <c r="M664" s="132"/>
    </row>
    <row r="665" spans="1:13">
      <c r="A665" s="44"/>
      <c r="B665" s="47">
        <v>18</v>
      </c>
      <c r="C665" s="48" t="s">
        <v>43</v>
      </c>
      <c r="D665" s="34">
        <v>15000000</v>
      </c>
      <c r="E665" s="117">
        <v>0</v>
      </c>
      <c r="F665" s="132">
        <v>0</v>
      </c>
      <c r="G665" s="192">
        <f>1450000+375000+1525000+2900000</f>
        <v>6250000</v>
      </c>
      <c r="H665" s="299">
        <f t="shared" si="231"/>
        <v>41.666666666666671</v>
      </c>
      <c r="I665" s="192">
        <f>G665</f>
        <v>6250000</v>
      </c>
      <c r="J665" s="301">
        <f t="shared" ref="J665:J666" si="238">I665/D665*100</f>
        <v>41.666666666666671</v>
      </c>
      <c r="K665" s="331">
        <f t="shared" si="232"/>
        <v>0.41666666666666669</v>
      </c>
      <c r="L665" s="311">
        <f t="shared" si="233"/>
        <v>41.666666666666671</v>
      </c>
      <c r="M665" s="132"/>
    </row>
    <row r="666" spans="1:13" ht="15.75" thickBot="1">
      <c r="A666" s="44"/>
      <c r="B666" s="49">
        <v>19</v>
      </c>
      <c r="C666" s="50" t="s">
        <v>44</v>
      </c>
      <c r="D666" s="51">
        <v>51212000</v>
      </c>
      <c r="E666" s="298"/>
      <c r="F666" s="133">
        <v>0</v>
      </c>
      <c r="G666" s="192">
        <v>24363000</v>
      </c>
      <c r="H666" s="300">
        <f t="shared" si="231"/>
        <v>47.572834491915955</v>
      </c>
      <c r="I666" s="192">
        <f t="shared" ref="I666" si="239">G666</f>
        <v>24363000</v>
      </c>
      <c r="J666" s="301">
        <f t="shared" si="238"/>
        <v>47.572834491915955</v>
      </c>
      <c r="K666" s="331">
        <f t="shared" si="232"/>
        <v>0.41666666666666669</v>
      </c>
      <c r="L666" s="311">
        <f t="shared" si="233"/>
        <v>47.572834491915955</v>
      </c>
      <c r="M666" s="133"/>
    </row>
    <row r="667" spans="1:13" ht="15.75" thickBot="1">
      <c r="A667" s="35"/>
      <c r="B667" s="52"/>
      <c r="C667" s="37" t="s">
        <v>45</v>
      </c>
      <c r="D667" s="53">
        <f>SUM(D652:D666)</f>
        <v>170212000</v>
      </c>
      <c r="E667" s="53">
        <f>SUM(E652:E666)</f>
        <v>0</v>
      </c>
      <c r="F667" s="53">
        <f t="shared" ref="F667" si="240">SUM(F652:F666)</f>
        <v>0</v>
      </c>
      <c r="G667" s="53">
        <f>SUM(G652:G666)</f>
        <v>60418448</v>
      </c>
      <c r="H667" s="214">
        <f>G667/D667*100</f>
        <v>35.495997931990694</v>
      </c>
      <c r="I667" s="194">
        <f t="shared" ref="I667" si="241">SUM(I652:I666)</f>
        <v>60418448</v>
      </c>
      <c r="J667" s="214">
        <f>I667/D667*100</f>
        <v>35.495997931990694</v>
      </c>
      <c r="K667" s="332">
        <f>5/12</f>
        <v>0.41666666666666669</v>
      </c>
      <c r="L667" s="214">
        <f>J667</f>
        <v>35.495997931990694</v>
      </c>
      <c r="M667" s="53"/>
    </row>
    <row r="668" spans="1:13">
      <c r="A668" s="54" t="s">
        <v>29</v>
      </c>
      <c r="B668" s="55" t="s">
        <v>90</v>
      </c>
      <c r="C668" s="56"/>
      <c r="D668" s="57"/>
      <c r="E668" s="119"/>
      <c r="F668" s="131"/>
      <c r="G668" s="152"/>
      <c r="H668" s="152"/>
      <c r="I668" s="119"/>
      <c r="J668" s="152"/>
      <c r="K668" s="152"/>
      <c r="L668" s="152"/>
      <c r="M668" s="131"/>
    </row>
    <row r="669" spans="1:13">
      <c r="A669" s="279"/>
      <c r="B669" s="47" t="s">
        <v>53</v>
      </c>
      <c r="C669" s="46" t="s">
        <v>216</v>
      </c>
      <c r="D669" s="80">
        <v>40000000</v>
      </c>
      <c r="E669" s="119"/>
      <c r="F669" s="131"/>
      <c r="G669" s="152"/>
      <c r="H669" s="152"/>
      <c r="I669" s="119"/>
      <c r="J669" s="152"/>
      <c r="K669" s="331">
        <f>5/12</f>
        <v>0.41666666666666669</v>
      </c>
      <c r="L669" s="152">
        <v>0</v>
      </c>
      <c r="M669" s="131"/>
    </row>
    <row r="670" spans="1:13">
      <c r="A670" s="44"/>
      <c r="B670" s="47" t="s">
        <v>46</v>
      </c>
      <c r="C670" s="58" t="s">
        <v>110</v>
      </c>
      <c r="D670" s="59">
        <v>20000000</v>
      </c>
      <c r="E670" s="120">
        <v>0</v>
      </c>
      <c r="F670" s="132">
        <v>0</v>
      </c>
      <c r="G670" s="119">
        <v>0</v>
      </c>
      <c r="H670" s="59" t="s">
        <v>132</v>
      </c>
      <c r="I670" s="119">
        <f>G670</f>
        <v>0</v>
      </c>
      <c r="J670" s="59" t="s">
        <v>132</v>
      </c>
      <c r="K670" s="331">
        <f t="shared" ref="K670:K676" si="242">5/12</f>
        <v>0.41666666666666669</v>
      </c>
      <c r="L670" s="59">
        <v>0</v>
      </c>
      <c r="M670" s="132"/>
    </row>
    <row r="671" spans="1:13">
      <c r="A671" s="44"/>
      <c r="B671" s="47">
        <v>21</v>
      </c>
      <c r="C671" s="48" t="s">
        <v>47</v>
      </c>
      <c r="D671" s="59">
        <v>30000000</v>
      </c>
      <c r="E671" s="120">
        <v>0</v>
      </c>
      <c r="F671" s="132">
        <v>0</v>
      </c>
      <c r="G671" s="206">
        <v>30000000</v>
      </c>
      <c r="H671" s="299">
        <f t="shared" ref="H671:H675" si="243">G671/D671*100</f>
        <v>100</v>
      </c>
      <c r="I671" s="119">
        <f t="shared" ref="I671:I672" si="244">G671</f>
        <v>30000000</v>
      </c>
      <c r="J671" s="301">
        <f t="shared" ref="J671:J674" si="245">I671/D671*100</f>
        <v>100</v>
      </c>
      <c r="K671" s="331">
        <f t="shared" si="242"/>
        <v>0.41666666666666669</v>
      </c>
      <c r="L671" s="311">
        <f t="shared" ref="L671:L672" si="246">J671</f>
        <v>100</v>
      </c>
      <c r="M671" s="132"/>
    </row>
    <row r="672" spans="1:13">
      <c r="A672" s="44"/>
      <c r="B672" s="47">
        <v>22</v>
      </c>
      <c r="C672" s="48" t="s">
        <v>48</v>
      </c>
      <c r="D672" s="60">
        <v>30000000</v>
      </c>
      <c r="E672" s="120">
        <v>0</v>
      </c>
      <c r="F672" s="132">
        <v>0</v>
      </c>
      <c r="G672" s="206">
        <v>30000000</v>
      </c>
      <c r="H672" s="299">
        <f t="shared" si="243"/>
        <v>100</v>
      </c>
      <c r="I672" s="119">
        <f t="shared" si="244"/>
        <v>30000000</v>
      </c>
      <c r="J672" s="301">
        <f t="shared" si="245"/>
        <v>100</v>
      </c>
      <c r="K672" s="331">
        <f t="shared" si="242"/>
        <v>0.41666666666666669</v>
      </c>
      <c r="L672" s="311">
        <f t="shared" si="246"/>
        <v>100</v>
      </c>
      <c r="M672" s="154"/>
    </row>
    <row r="673" spans="1:13">
      <c r="A673" s="44"/>
      <c r="B673" s="47">
        <v>24</v>
      </c>
      <c r="C673" s="48" t="s">
        <v>49</v>
      </c>
      <c r="D673" s="60">
        <v>35000000</v>
      </c>
      <c r="E673" s="120">
        <v>0</v>
      </c>
      <c r="F673" s="132">
        <v>0</v>
      </c>
      <c r="G673" s="206">
        <f>6051250+1700000+2418000</f>
        <v>10169250</v>
      </c>
      <c r="H673" s="299">
        <f t="shared" si="243"/>
        <v>29.054999999999996</v>
      </c>
      <c r="I673" s="192">
        <f>G673</f>
        <v>10169250</v>
      </c>
      <c r="J673" s="301">
        <f t="shared" si="245"/>
        <v>29.054999999999996</v>
      </c>
      <c r="K673" s="331">
        <f t="shared" si="242"/>
        <v>0.41666666666666669</v>
      </c>
      <c r="L673" s="311">
        <f>J673</f>
        <v>29.054999999999996</v>
      </c>
      <c r="M673" s="132"/>
    </row>
    <row r="674" spans="1:13">
      <c r="A674" s="44"/>
      <c r="B674" s="47">
        <v>26</v>
      </c>
      <c r="C674" s="48" t="s">
        <v>50</v>
      </c>
      <c r="D674" s="60">
        <v>4000000</v>
      </c>
      <c r="E674" s="120">
        <v>0</v>
      </c>
      <c r="F674" s="132">
        <v>0</v>
      </c>
      <c r="G674" s="206">
        <v>1500000</v>
      </c>
      <c r="H674" s="299">
        <f t="shared" si="243"/>
        <v>37.5</v>
      </c>
      <c r="I674" s="192">
        <f>G674</f>
        <v>1500000</v>
      </c>
      <c r="J674" s="301">
        <f t="shared" si="245"/>
        <v>37.5</v>
      </c>
      <c r="K674" s="331">
        <f t="shared" si="242"/>
        <v>0.41666666666666669</v>
      </c>
      <c r="L674" s="311">
        <f t="shared" ref="L674:L676" si="247">J674</f>
        <v>37.5</v>
      </c>
      <c r="M674" s="132"/>
    </row>
    <row r="675" spans="1:13">
      <c r="A675" s="44"/>
      <c r="B675" s="47">
        <v>28</v>
      </c>
      <c r="C675" s="48" t="s">
        <v>51</v>
      </c>
      <c r="D675" s="60">
        <v>12000000</v>
      </c>
      <c r="E675" s="120">
        <v>0</v>
      </c>
      <c r="F675" s="132">
        <v>0</v>
      </c>
      <c r="G675" s="206">
        <f>300000+300000+2250000+1000000+400000</f>
        <v>4250000</v>
      </c>
      <c r="H675" s="299">
        <f t="shared" si="243"/>
        <v>35.416666666666671</v>
      </c>
      <c r="I675" s="192">
        <f>G675</f>
        <v>4250000</v>
      </c>
      <c r="J675" s="301">
        <f>I675/D675*100</f>
        <v>35.416666666666671</v>
      </c>
      <c r="K675" s="331">
        <f t="shared" si="242"/>
        <v>0.41666666666666669</v>
      </c>
      <c r="L675" s="311">
        <f t="shared" si="247"/>
        <v>35.416666666666671</v>
      </c>
      <c r="M675" s="132"/>
    </row>
    <row r="676" spans="1:13">
      <c r="A676" s="44"/>
      <c r="B676" s="61">
        <v>29</v>
      </c>
      <c r="C676" s="50" t="s">
        <v>52</v>
      </c>
      <c r="D676" s="62">
        <v>2000000</v>
      </c>
      <c r="E676" s="121">
        <v>0</v>
      </c>
      <c r="F676" s="133">
        <v>0</v>
      </c>
      <c r="G676" s="197">
        <f>200000+100000</f>
        <v>300000</v>
      </c>
      <c r="H676" s="312">
        <f>G676/D676*100</f>
        <v>15</v>
      </c>
      <c r="I676" s="313">
        <f t="shared" ref="I676" si="248">G676</f>
        <v>300000</v>
      </c>
      <c r="J676" s="314">
        <f t="shared" ref="J676" si="249">I676/D676*100</f>
        <v>15</v>
      </c>
      <c r="K676" s="331">
        <f t="shared" si="242"/>
        <v>0.41666666666666669</v>
      </c>
      <c r="L676" s="311">
        <f t="shared" si="247"/>
        <v>15</v>
      </c>
      <c r="M676" s="133"/>
    </row>
    <row r="677" spans="1:13">
      <c r="A677" s="63"/>
      <c r="B677" s="64"/>
      <c r="C677" s="65" t="s">
        <v>45</v>
      </c>
      <c r="D677" s="66">
        <f>SUM(D669:D676)</f>
        <v>173000000</v>
      </c>
      <c r="E677" s="122"/>
      <c r="F677" s="66"/>
      <c r="G677" s="285">
        <f>SUM(G669:G676)</f>
        <v>76219250</v>
      </c>
      <c r="H677" s="323">
        <f>G677/D677*100</f>
        <v>44.05736994219653</v>
      </c>
      <c r="I677" s="286">
        <f>SUM(I669:I676)</f>
        <v>76219250</v>
      </c>
      <c r="J677" s="323">
        <f>I677/D677*100</f>
        <v>44.05736994219653</v>
      </c>
      <c r="K677" s="333">
        <f>5/12</f>
        <v>0.41666666666666669</v>
      </c>
      <c r="L677" s="302">
        <f>J677</f>
        <v>44.05736994219653</v>
      </c>
      <c r="M677" s="66"/>
    </row>
    <row r="678" spans="1:13">
      <c r="A678" s="67" t="s">
        <v>53</v>
      </c>
      <c r="B678" s="68" t="s">
        <v>54</v>
      </c>
      <c r="C678" s="69"/>
      <c r="D678" s="70"/>
      <c r="E678" s="123"/>
      <c r="F678" s="134"/>
      <c r="G678" s="164"/>
      <c r="H678" s="148"/>
      <c r="I678" s="164"/>
      <c r="J678" s="152"/>
      <c r="K678" s="152"/>
      <c r="L678" s="156"/>
      <c r="M678" s="134"/>
    </row>
    <row r="679" spans="1:13">
      <c r="A679" s="44"/>
      <c r="B679" s="47" t="s">
        <v>26</v>
      </c>
      <c r="C679" s="48" t="s">
        <v>55</v>
      </c>
      <c r="D679" s="60">
        <v>25000000</v>
      </c>
      <c r="E679" s="120">
        <v>0</v>
      </c>
      <c r="F679" s="208">
        <v>0</v>
      </c>
      <c r="G679" s="197" t="s">
        <v>132</v>
      </c>
      <c r="H679" s="59" t="s">
        <v>132</v>
      </c>
      <c r="I679" s="197" t="s">
        <v>132</v>
      </c>
      <c r="J679" s="59" t="s">
        <v>132</v>
      </c>
      <c r="K679" s="59">
        <v>0</v>
      </c>
      <c r="L679" s="59">
        <v>0</v>
      </c>
      <c r="M679" s="132"/>
    </row>
    <row r="680" spans="1:13">
      <c r="A680" s="63"/>
      <c r="B680" s="71"/>
      <c r="C680" s="65" t="s">
        <v>45</v>
      </c>
      <c r="D680" s="66">
        <f>SUM(D679:D679)</f>
        <v>25000000</v>
      </c>
      <c r="E680" s="122">
        <f>SUM(E679:E679)</f>
        <v>0</v>
      </c>
      <c r="F680" s="202">
        <f>SUM(F679:F679)</f>
        <v>0</v>
      </c>
      <c r="G680" s="122" t="s">
        <v>132</v>
      </c>
      <c r="H680" s="66" t="s">
        <v>132</v>
      </c>
      <c r="I680" s="122" t="s">
        <v>132</v>
      </c>
      <c r="J680" s="155" t="s">
        <v>132</v>
      </c>
      <c r="K680" s="66">
        <f>SUM(K679:K679)</f>
        <v>0</v>
      </c>
      <c r="L680" s="66">
        <f>SUM(L679:L679)</f>
        <v>0</v>
      </c>
      <c r="M680" s="66"/>
    </row>
    <row r="681" spans="1:13">
      <c r="A681" s="44">
        <v>15</v>
      </c>
      <c r="B681" s="72" t="s">
        <v>61</v>
      </c>
      <c r="C681" s="73"/>
      <c r="D681" s="57"/>
      <c r="E681" s="119"/>
      <c r="F681" s="209"/>
      <c r="G681" s="119" t="s">
        <v>132</v>
      </c>
      <c r="H681" s="152" t="s">
        <v>132</v>
      </c>
      <c r="I681" s="119" t="s">
        <v>132</v>
      </c>
      <c r="J681" s="152" t="s">
        <v>132</v>
      </c>
      <c r="K681" s="152"/>
      <c r="L681" s="152"/>
      <c r="M681" s="131"/>
    </row>
    <row r="682" spans="1:13">
      <c r="A682" s="44"/>
      <c r="B682" s="47">
        <v>18</v>
      </c>
      <c r="C682" s="48" t="s">
        <v>62</v>
      </c>
      <c r="D682" s="60">
        <v>5000000</v>
      </c>
      <c r="E682" s="120">
        <v>0</v>
      </c>
      <c r="F682" s="208">
        <v>0</v>
      </c>
      <c r="G682" s="120" t="s">
        <v>132</v>
      </c>
      <c r="H682" s="59" t="s">
        <v>132</v>
      </c>
      <c r="I682" s="120" t="s">
        <v>132</v>
      </c>
      <c r="J682" s="59" t="s">
        <v>132</v>
      </c>
      <c r="K682" s="331">
        <f>5/12</f>
        <v>0.41666666666666669</v>
      </c>
      <c r="L682" s="59">
        <v>0</v>
      </c>
      <c r="M682" s="132"/>
    </row>
    <row r="683" spans="1:13" ht="25.5">
      <c r="A683" s="44"/>
      <c r="B683" s="49">
        <v>63</v>
      </c>
      <c r="C683" s="244" t="s">
        <v>63</v>
      </c>
      <c r="D683" s="62">
        <v>5000000</v>
      </c>
      <c r="E683" s="121">
        <v>0</v>
      </c>
      <c r="F683" s="210">
        <v>0</v>
      </c>
      <c r="G683" s="121" t="s">
        <v>132</v>
      </c>
      <c r="H683" s="153" t="s">
        <v>132</v>
      </c>
      <c r="I683" s="121" t="s">
        <v>132</v>
      </c>
      <c r="J683" s="153" t="s">
        <v>132</v>
      </c>
      <c r="K683" s="331">
        <f>5/12</f>
        <v>0.41666666666666669</v>
      </c>
      <c r="L683" s="153">
        <v>0</v>
      </c>
      <c r="M683" s="133"/>
    </row>
    <row r="684" spans="1:13">
      <c r="A684" s="63"/>
      <c r="B684" s="64"/>
      <c r="C684" s="65" t="s">
        <v>45</v>
      </c>
      <c r="D684" s="66">
        <f>SUM(D682:D683)</f>
        <v>10000000</v>
      </c>
      <c r="E684" s="122">
        <f t="shared" ref="E684" si="250">SUM(E682:E683)</f>
        <v>0</v>
      </c>
      <c r="F684" s="202">
        <f>SUM(F682:F683)</f>
        <v>0</v>
      </c>
      <c r="G684" s="195" t="s">
        <v>132</v>
      </c>
      <c r="H684" s="66" t="s">
        <v>132</v>
      </c>
      <c r="I684" s="195" t="s">
        <v>132</v>
      </c>
      <c r="J684" s="155" t="s">
        <v>132</v>
      </c>
      <c r="K684" s="356">
        <f>5/12</f>
        <v>0.41666666666666669</v>
      </c>
      <c r="L684" s="66">
        <f t="shared" ref="L684" si="251">SUM(L682:L683)</f>
        <v>0</v>
      </c>
      <c r="M684" s="66"/>
    </row>
    <row r="685" spans="1:13">
      <c r="A685" s="44">
        <v>30</v>
      </c>
      <c r="B685" s="77" t="s">
        <v>64</v>
      </c>
      <c r="C685" s="78"/>
      <c r="D685" s="57"/>
      <c r="E685" s="119"/>
      <c r="F685" s="209"/>
      <c r="G685" s="119"/>
      <c r="H685" s="152"/>
      <c r="I685" s="119"/>
      <c r="J685" s="152"/>
      <c r="K685" s="152"/>
      <c r="L685" s="152"/>
      <c r="M685" s="131"/>
    </row>
    <row r="686" spans="1:13">
      <c r="A686" s="44"/>
      <c r="B686" s="45">
        <v>2</v>
      </c>
      <c r="C686" s="79" t="s">
        <v>102</v>
      </c>
      <c r="D686" s="80">
        <v>200000000</v>
      </c>
      <c r="E686" s="124">
        <v>0</v>
      </c>
      <c r="F686" s="209">
        <v>0</v>
      </c>
      <c r="G686" s="124">
        <v>199258000</v>
      </c>
      <c r="H686" s="312">
        <f t="shared" ref="H686" si="252">G686/D686*100</f>
        <v>99.629000000000005</v>
      </c>
      <c r="I686" s="120">
        <f>G686</f>
        <v>199258000</v>
      </c>
      <c r="J686" s="301">
        <f>I686/D686*100</f>
        <v>99.629000000000005</v>
      </c>
      <c r="K686" s="355">
        <f>5/12</f>
        <v>0.41666666666666669</v>
      </c>
      <c r="L686" s="152"/>
      <c r="M686" s="131"/>
    </row>
    <row r="687" spans="1:13">
      <c r="A687" s="63"/>
      <c r="B687" s="64"/>
      <c r="C687" s="65" t="s">
        <v>45</v>
      </c>
      <c r="D687" s="66">
        <f>SUM(D685:D686)</f>
        <v>200000000</v>
      </c>
      <c r="E687" s="66">
        <f>SUM(E685:E686)</f>
        <v>0</v>
      </c>
      <c r="F687" s="202">
        <f>SUM(F685:F686)</f>
        <v>0</v>
      </c>
      <c r="G687" s="122">
        <f>SUM(G686)</f>
        <v>199258000</v>
      </c>
      <c r="H687" s="323">
        <f>G687/D687*100</f>
        <v>99.629000000000005</v>
      </c>
      <c r="I687" s="122">
        <f>SUM(I686)</f>
        <v>199258000</v>
      </c>
      <c r="J687" s="323">
        <f>I687/D687*100</f>
        <v>99.629000000000005</v>
      </c>
      <c r="K687" s="356">
        <f>5/12</f>
        <v>0.41666666666666669</v>
      </c>
      <c r="L687" s="66">
        <f t="shared" ref="L687" si="253">SUM(L685:L686)</f>
        <v>0</v>
      </c>
      <c r="M687" s="66"/>
    </row>
    <row r="688" spans="1:13">
      <c r="A688" s="44">
        <v>21</v>
      </c>
      <c r="B688" s="81" t="s">
        <v>65</v>
      </c>
      <c r="C688" s="82"/>
      <c r="D688" s="57"/>
      <c r="E688" s="119"/>
      <c r="F688" s="209"/>
      <c r="G688" s="119"/>
      <c r="H688" s="152"/>
      <c r="I688" s="119"/>
      <c r="J688" s="152"/>
      <c r="K688" s="152"/>
      <c r="L688" s="152"/>
      <c r="M688" s="131"/>
    </row>
    <row r="689" spans="1:13">
      <c r="A689" s="44"/>
      <c r="B689" s="47" t="s">
        <v>46</v>
      </c>
      <c r="C689" s="48" t="s">
        <v>66</v>
      </c>
      <c r="D689" s="60">
        <v>20000000</v>
      </c>
      <c r="E689" s="125">
        <v>0</v>
      </c>
      <c r="F689" s="211">
        <v>0</v>
      </c>
      <c r="G689" s="199">
        <v>20000000</v>
      </c>
      <c r="H689" s="312">
        <f>G689/D689*100</f>
        <v>100</v>
      </c>
      <c r="I689" s="197">
        <f>G689</f>
        <v>20000000</v>
      </c>
      <c r="J689" s="59">
        <f>H689</f>
        <v>100</v>
      </c>
      <c r="K689" s="349">
        <f>5/12</f>
        <v>0.41666666666666669</v>
      </c>
      <c r="L689" s="59">
        <f>J689</f>
        <v>100</v>
      </c>
      <c r="M689" s="132"/>
    </row>
    <row r="690" spans="1:13">
      <c r="A690" s="63"/>
      <c r="B690" s="83"/>
      <c r="C690" s="65" t="s">
        <v>45</v>
      </c>
      <c r="D690" s="66">
        <f>SUM(D689:D689)</f>
        <v>20000000</v>
      </c>
      <c r="E690" s="66">
        <f t="shared" ref="E690:F690" si="254">SUM(E687:E689)</f>
        <v>0</v>
      </c>
      <c r="F690" s="202">
        <f t="shared" si="254"/>
        <v>0</v>
      </c>
      <c r="G690" s="122">
        <f>SUM(G689)</f>
        <v>20000000</v>
      </c>
      <c r="H690" s="323">
        <f>G690/D690*100</f>
        <v>100</v>
      </c>
      <c r="I690" s="122">
        <f>SUM(I689)</f>
        <v>20000000</v>
      </c>
      <c r="J690" s="66">
        <f>H690</f>
        <v>100</v>
      </c>
      <c r="K690" s="350">
        <f>5/12</f>
        <v>0.41666666666666669</v>
      </c>
      <c r="L690" s="66">
        <f t="shared" ref="L690" si="255">SUM(L687:L689)</f>
        <v>100</v>
      </c>
      <c r="M690" s="66"/>
    </row>
    <row r="691" spans="1:13">
      <c r="A691" s="84">
        <v>18</v>
      </c>
      <c r="B691" s="826" t="s">
        <v>96</v>
      </c>
      <c r="C691" s="827"/>
      <c r="D691" s="57"/>
      <c r="E691" s="119"/>
      <c r="F691" s="209"/>
      <c r="G691" s="119"/>
      <c r="H691" s="152"/>
      <c r="I691" s="119"/>
      <c r="J691" s="152"/>
      <c r="K691" s="152"/>
      <c r="L691" s="152"/>
      <c r="M691" s="131"/>
    </row>
    <row r="692" spans="1:13">
      <c r="A692" s="84"/>
      <c r="B692" s="830" t="s">
        <v>95</v>
      </c>
      <c r="C692" s="831"/>
      <c r="D692" s="57"/>
      <c r="E692" s="124"/>
      <c r="F692" s="209"/>
      <c r="G692" s="119"/>
      <c r="H692" s="152"/>
      <c r="I692" s="119"/>
      <c r="J692" s="152"/>
      <c r="K692" s="152"/>
      <c r="L692" s="152"/>
      <c r="M692" s="131"/>
    </row>
    <row r="693" spans="1:13">
      <c r="A693" s="44"/>
      <c r="B693" s="47" t="s">
        <v>26</v>
      </c>
      <c r="C693" s="48" t="s">
        <v>67</v>
      </c>
      <c r="D693" s="60">
        <v>20000000</v>
      </c>
      <c r="E693" s="125">
        <v>0</v>
      </c>
      <c r="F693" s="211">
        <v>0</v>
      </c>
      <c r="G693" s="199" t="s">
        <v>132</v>
      </c>
      <c r="H693" s="59" t="s">
        <v>132</v>
      </c>
      <c r="I693" s="119" t="str">
        <f t="shared" ref="I693" si="256">G693</f>
        <v>-</v>
      </c>
      <c r="J693" s="59" t="s">
        <v>132</v>
      </c>
      <c r="K693" s="59">
        <v>0</v>
      </c>
      <c r="L693" s="59">
        <v>0</v>
      </c>
      <c r="M693" s="132"/>
    </row>
    <row r="694" spans="1:13">
      <c r="A694" s="44"/>
      <c r="B694" s="47" t="s">
        <v>29</v>
      </c>
      <c r="C694" s="204" t="s">
        <v>220</v>
      </c>
      <c r="D694" s="179">
        <v>7000000</v>
      </c>
      <c r="E694" s="180">
        <v>0</v>
      </c>
      <c r="F694" s="181">
        <v>0</v>
      </c>
      <c r="G694" s="207" t="s">
        <v>132</v>
      </c>
      <c r="H694" s="148" t="s">
        <v>132</v>
      </c>
      <c r="I694" s="119" t="s">
        <v>132</v>
      </c>
      <c r="J694" s="148" t="s">
        <v>132</v>
      </c>
      <c r="K694" s="59">
        <v>0</v>
      </c>
      <c r="L694" s="148">
        <v>0</v>
      </c>
      <c r="M694" s="165"/>
    </row>
    <row r="695" spans="1:13">
      <c r="A695" s="44"/>
      <c r="B695" s="47"/>
      <c r="C695" s="48" t="s">
        <v>117</v>
      </c>
      <c r="D695" s="60"/>
      <c r="E695" s="125"/>
      <c r="F695" s="135"/>
      <c r="G695" s="199"/>
      <c r="H695" s="59"/>
      <c r="I695" s="197"/>
      <c r="J695" s="59"/>
      <c r="K695" s="59"/>
      <c r="L695" s="59"/>
      <c r="M695" s="132"/>
    </row>
    <row r="696" spans="1:13">
      <c r="A696" s="63"/>
      <c r="B696" s="71"/>
      <c r="C696" s="65" t="s">
        <v>45</v>
      </c>
      <c r="D696" s="66">
        <f>SUM(D693:D695)</f>
        <v>27000000</v>
      </c>
      <c r="E696" s="66">
        <f t="shared" ref="E696" si="257">SUM(E693:E693)</f>
        <v>0</v>
      </c>
      <c r="F696" s="66">
        <f>SUM(F693:F693)</f>
        <v>0</v>
      </c>
      <c r="G696" s="122" t="s">
        <v>132</v>
      </c>
      <c r="H696" s="66" t="s">
        <v>132</v>
      </c>
      <c r="I696" s="122" t="s">
        <v>132</v>
      </c>
      <c r="J696" s="66" t="s">
        <v>132</v>
      </c>
      <c r="K696" s="66">
        <f>SUM(K693:K695)</f>
        <v>0</v>
      </c>
      <c r="L696" s="66">
        <f t="shared" ref="L696" si="258">SUM(L693:L693)</f>
        <v>0</v>
      </c>
      <c r="M696" s="66"/>
    </row>
    <row r="697" spans="1:13">
      <c r="A697" s="84">
        <v>17</v>
      </c>
      <c r="B697" s="826" t="s">
        <v>130</v>
      </c>
      <c r="C697" s="827"/>
      <c r="D697" s="57"/>
      <c r="E697" s="119"/>
      <c r="F697" s="131"/>
      <c r="G697" s="119"/>
      <c r="H697" s="152"/>
      <c r="I697" s="119"/>
      <c r="J697" s="152"/>
      <c r="K697" s="152"/>
      <c r="L697" s="152"/>
      <c r="M697" s="131"/>
    </row>
    <row r="698" spans="1:13">
      <c r="A698" s="44"/>
      <c r="B698" s="47" t="s">
        <v>53</v>
      </c>
      <c r="C698" s="48" t="s">
        <v>131</v>
      </c>
      <c r="D698" s="60">
        <v>24000000</v>
      </c>
      <c r="E698" s="125">
        <v>0</v>
      </c>
      <c r="F698" s="135">
        <v>0</v>
      </c>
      <c r="G698" s="197" t="s">
        <v>132</v>
      </c>
      <c r="H698" s="59" t="s">
        <v>132</v>
      </c>
      <c r="I698" s="197" t="s">
        <v>132</v>
      </c>
      <c r="J698" s="59" t="s">
        <v>132</v>
      </c>
      <c r="K698" s="59">
        <v>0</v>
      </c>
      <c r="L698" s="59">
        <v>0</v>
      </c>
      <c r="M698" s="132"/>
    </row>
    <row r="699" spans="1:13">
      <c r="A699" s="63"/>
      <c r="B699" s="64"/>
      <c r="C699" s="65" t="s">
        <v>45</v>
      </c>
      <c r="D699" s="66">
        <f>SUM(D698:D698)</f>
        <v>24000000</v>
      </c>
      <c r="E699" s="66">
        <f t="shared" ref="E699:F699" si="259">SUM(E697:E698)</f>
        <v>0</v>
      </c>
      <c r="F699" s="66">
        <f t="shared" si="259"/>
        <v>0</v>
      </c>
      <c r="G699" s="122" t="s">
        <v>132</v>
      </c>
      <c r="H699" s="66" t="s">
        <v>132</v>
      </c>
      <c r="I699" s="122" t="s">
        <v>132</v>
      </c>
      <c r="J699" s="66" t="s">
        <v>132</v>
      </c>
      <c r="K699" s="66">
        <f t="shared" ref="K699:L699" si="260">SUM(K697:K698)</f>
        <v>0</v>
      </c>
      <c r="L699" s="66">
        <f t="shared" si="260"/>
        <v>0</v>
      </c>
      <c r="M699" s="66"/>
    </row>
    <row r="700" spans="1:13">
      <c r="A700" s="44">
        <v>15</v>
      </c>
      <c r="B700" s="518" t="s">
        <v>68</v>
      </c>
      <c r="C700" s="86"/>
      <c r="D700" s="57"/>
      <c r="E700" s="119"/>
      <c r="F700" s="131"/>
      <c r="G700" s="119"/>
      <c r="H700" s="152"/>
      <c r="I700" s="119"/>
      <c r="J700" s="152"/>
      <c r="K700" s="152"/>
      <c r="L700" s="152"/>
      <c r="M700" s="131"/>
    </row>
    <row r="701" spans="1:13" ht="26.25">
      <c r="A701" s="44"/>
      <c r="B701" s="49" t="s">
        <v>80</v>
      </c>
      <c r="C701" s="50" t="s">
        <v>118</v>
      </c>
      <c r="D701" s="62">
        <v>10000000</v>
      </c>
      <c r="E701" s="125">
        <v>0</v>
      </c>
      <c r="F701" s="135">
        <v>0</v>
      </c>
      <c r="G701" s="119" t="s">
        <v>132</v>
      </c>
      <c r="H701" s="59" t="s">
        <v>132</v>
      </c>
      <c r="I701" s="119" t="s">
        <v>132</v>
      </c>
      <c r="J701" s="59" t="s">
        <v>132</v>
      </c>
      <c r="K701" s="339">
        <f>5/12</f>
        <v>0.41666666666666669</v>
      </c>
      <c r="L701" s="59">
        <v>0</v>
      </c>
      <c r="M701" s="132"/>
    </row>
    <row r="702" spans="1:13">
      <c r="A702" s="44"/>
      <c r="B702" s="49" t="s">
        <v>69</v>
      </c>
      <c r="C702" s="50" t="s">
        <v>70</v>
      </c>
      <c r="D702" s="62">
        <v>60000000</v>
      </c>
      <c r="E702" s="125">
        <v>0</v>
      </c>
      <c r="F702" s="135">
        <v>0</v>
      </c>
      <c r="G702" s="197">
        <v>30000000</v>
      </c>
      <c r="H702" s="312">
        <f>G702/D702*100</f>
        <v>50</v>
      </c>
      <c r="I702" s="197">
        <f>G702</f>
        <v>30000000</v>
      </c>
      <c r="J702" s="301">
        <f>H702</f>
        <v>50</v>
      </c>
      <c r="K702" s="349">
        <f>5/12</f>
        <v>0.41666666666666669</v>
      </c>
      <c r="L702" s="59">
        <v>0</v>
      </c>
      <c r="M702" s="132"/>
    </row>
    <row r="703" spans="1:13">
      <c r="A703" s="63"/>
      <c r="B703" s="64"/>
      <c r="C703" s="65" t="s">
        <v>45</v>
      </c>
      <c r="D703" s="66">
        <f>SUM(D701:D702)</f>
        <v>70000000</v>
      </c>
      <c r="E703" s="66">
        <f>SUM(E699:E702)</f>
        <v>0</v>
      </c>
      <c r="F703" s="66">
        <f>SUM(F699:F702)</f>
        <v>0</v>
      </c>
      <c r="G703" s="122">
        <f>SUM(G702)</f>
        <v>30000000</v>
      </c>
      <c r="H703" s="323">
        <f>G703/D703*100</f>
        <v>42.857142857142854</v>
      </c>
      <c r="I703" s="122">
        <f>SUM(I702)</f>
        <v>30000000</v>
      </c>
      <c r="J703" s="302">
        <f>H703</f>
        <v>42.857142857142854</v>
      </c>
      <c r="K703" s="356">
        <f>5/12</f>
        <v>0.41666666666666669</v>
      </c>
      <c r="L703" s="66">
        <f>SUM(L699:L702)</f>
        <v>0</v>
      </c>
      <c r="M703" s="66"/>
    </row>
    <row r="704" spans="1:13">
      <c r="A704" s="44">
        <v>16</v>
      </c>
      <c r="B704" s="81" t="s">
        <v>71</v>
      </c>
      <c r="C704" s="82"/>
      <c r="D704" s="57"/>
      <c r="E704" s="119"/>
      <c r="F704" s="131"/>
      <c r="G704" s="119"/>
      <c r="H704" s="152"/>
      <c r="I704" s="119"/>
      <c r="J704" s="152"/>
      <c r="K704" s="152"/>
      <c r="L704" s="152"/>
      <c r="M704" s="131"/>
    </row>
    <row r="705" spans="1:13">
      <c r="A705" s="44"/>
      <c r="B705" s="47" t="s">
        <v>72</v>
      </c>
      <c r="C705" s="48" t="s">
        <v>73</v>
      </c>
      <c r="D705" s="60">
        <v>5000000</v>
      </c>
      <c r="E705" s="120">
        <v>0</v>
      </c>
      <c r="F705" s="132">
        <v>0</v>
      </c>
      <c r="G705" s="120">
        <v>5000000</v>
      </c>
      <c r="H705" s="312">
        <f>G705/D705*100</f>
        <v>100</v>
      </c>
      <c r="I705" s="313">
        <f t="shared" ref="I705:I706" si="261">G705</f>
        <v>5000000</v>
      </c>
      <c r="J705" s="314">
        <f t="shared" ref="J705:J706" si="262">I705/D705*100</f>
        <v>100</v>
      </c>
      <c r="K705" s="339">
        <f>5/12</f>
        <v>0.41666666666666669</v>
      </c>
      <c r="L705" s="311">
        <f>J705</f>
        <v>100</v>
      </c>
      <c r="M705" s="132"/>
    </row>
    <row r="706" spans="1:13">
      <c r="A706" s="63"/>
      <c r="B706" s="83"/>
      <c r="C706" s="65" t="s">
        <v>45</v>
      </c>
      <c r="D706" s="66">
        <f>SUM(D705:D705)</f>
        <v>5000000</v>
      </c>
      <c r="E706" s="122">
        <f>SUM(E705:E705)</f>
        <v>0</v>
      </c>
      <c r="F706" s="66">
        <f>SUM(F705:F705)</f>
        <v>0</v>
      </c>
      <c r="G706" s="195">
        <f>G705</f>
        <v>5000000</v>
      </c>
      <c r="H706" s="310">
        <f>G706/D706*100</f>
        <v>100</v>
      </c>
      <c r="I706" s="192">
        <f t="shared" si="261"/>
        <v>5000000</v>
      </c>
      <c r="J706" s="311">
        <f t="shared" si="262"/>
        <v>100</v>
      </c>
      <c r="K706" s="333">
        <f>SUM(K705)</f>
        <v>0.41666666666666669</v>
      </c>
      <c r="L706" s="302">
        <f>SUM(L705)</f>
        <v>100</v>
      </c>
      <c r="M706" s="66"/>
    </row>
    <row r="707" spans="1:13">
      <c r="A707" s="87" t="s">
        <v>69</v>
      </c>
      <c r="B707" s="826" t="s">
        <v>89</v>
      </c>
      <c r="C707" s="827"/>
      <c r="D707" s="70"/>
      <c r="E707" s="123"/>
      <c r="F707" s="134"/>
      <c r="G707" s="123"/>
      <c r="H707" s="156"/>
      <c r="I707" s="123"/>
      <c r="J707" s="156"/>
      <c r="K707" s="156"/>
      <c r="L707" s="156"/>
      <c r="M707" s="134"/>
    </row>
    <row r="708" spans="1:13">
      <c r="A708" s="88"/>
      <c r="B708" s="830" t="s">
        <v>88</v>
      </c>
      <c r="C708" s="831"/>
      <c r="D708" s="57"/>
      <c r="E708" s="119"/>
      <c r="F708" s="131"/>
      <c r="G708" s="119"/>
      <c r="H708" s="152"/>
      <c r="I708" s="119"/>
      <c r="J708" s="152"/>
      <c r="K708" s="152"/>
      <c r="L708" s="152"/>
      <c r="M708" s="131"/>
    </row>
    <row r="709" spans="1:13">
      <c r="A709" s="89"/>
      <c r="B709" s="61" t="s">
        <v>26</v>
      </c>
      <c r="C709" s="90" t="s">
        <v>74</v>
      </c>
      <c r="D709" s="91">
        <v>15000000</v>
      </c>
      <c r="E709" s="126">
        <v>0</v>
      </c>
      <c r="F709" s="136">
        <v>0</v>
      </c>
      <c r="G709" s="126">
        <v>15000000</v>
      </c>
      <c r="H709" s="312">
        <f>G709/D709*100</f>
        <v>100</v>
      </c>
      <c r="I709" s="313">
        <f t="shared" ref="I709:I710" si="263">G709</f>
        <v>15000000</v>
      </c>
      <c r="J709" s="314">
        <f t="shared" ref="J709:J710" si="264">I709/D709*100</f>
        <v>100</v>
      </c>
      <c r="K709" s="339">
        <f>5/12</f>
        <v>0.41666666666666669</v>
      </c>
      <c r="L709" s="311">
        <f>J709</f>
        <v>100</v>
      </c>
      <c r="M709" s="136"/>
    </row>
    <row r="710" spans="1:13">
      <c r="A710" s="63"/>
      <c r="B710" s="83"/>
      <c r="C710" s="65" t="s">
        <v>45</v>
      </c>
      <c r="D710" s="66">
        <f>SUM(D709:D709)</f>
        <v>15000000</v>
      </c>
      <c r="E710" s="122">
        <f>SUM(E709:E709)</f>
        <v>0</v>
      </c>
      <c r="F710" s="66">
        <f>SUM(F709:F709)</f>
        <v>0</v>
      </c>
      <c r="G710" s="126">
        <f>SUM(G709)</f>
        <v>15000000</v>
      </c>
      <c r="H710" s="316">
        <f>G710/D710*100</f>
        <v>100</v>
      </c>
      <c r="I710" s="315">
        <f t="shared" si="263"/>
        <v>15000000</v>
      </c>
      <c r="J710" s="317">
        <f t="shared" si="264"/>
        <v>100</v>
      </c>
      <c r="K710" s="333">
        <f>SUM(K709)</f>
        <v>0.41666666666666669</v>
      </c>
      <c r="L710" s="302">
        <f>SUM(L709)</f>
        <v>100</v>
      </c>
      <c r="M710" s="66"/>
    </row>
    <row r="711" spans="1:13">
      <c r="A711" s="88"/>
      <c r="B711" s="826" t="s">
        <v>94</v>
      </c>
      <c r="C711" s="827"/>
      <c r="D711" s="57"/>
      <c r="E711" s="119"/>
      <c r="F711" s="131"/>
      <c r="G711" s="119"/>
      <c r="H711" s="152"/>
      <c r="I711" s="119"/>
      <c r="J711" s="152"/>
      <c r="K711" s="152"/>
      <c r="L711" s="152"/>
      <c r="M711" s="131"/>
    </row>
    <row r="712" spans="1:13">
      <c r="A712" s="84"/>
      <c r="B712" s="92" t="s">
        <v>26</v>
      </c>
      <c r="C712" s="48" t="s">
        <v>134</v>
      </c>
      <c r="D712" s="60">
        <v>4000000</v>
      </c>
      <c r="E712" s="125">
        <v>0</v>
      </c>
      <c r="F712" s="135">
        <v>0</v>
      </c>
      <c r="G712" s="197" t="s">
        <v>132</v>
      </c>
      <c r="H712" s="59" t="s">
        <v>132</v>
      </c>
      <c r="I712" s="197" t="s">
        <v>132</v>
      </c>
      <c r="J712" s="59" t="s">
        <v>132</v>
      </c>
      <c r="K712" s="355">
        <f>5/12</f>
        <v>0.41666666666666669</v>
      </c>
      <c r="L712" s="59">
        <v>0</v>
      </c>
      <c r="M712" s="132"/>
    </row>
    <row r="713" spans="1:13">
      <c r="A713" s="93"/>
      <c r="B713" s="64"/>
      <c r="C713" s="65" t="s">
        <v>45</v>
      </c>
      <c r="D713" s="66">
        <f>SUM(D712:D712)</f>
        <v>4000000</v>
      </c>
      <c r="E713" s="66">
        <f t="shared" ref="E713:F713" si="265">SUM(E707:E712)</f>
        <v>0</v>
      </c>
      <c r="F713" s="66">
        <f t="shared" si="265"/>
        <v>0</v>
      </c>
      <c r="G713" s="122" t="s">
        <v>132</v>
      </c>
      <c r="H713" s="66" t="s">
        <v>132</v>
      </c>
      <c r="I713" s="122" t="s">
        <v>132</v>
      </c>
      <c r="J713" s="66" t="s">
        <v>132</v>
      </c>
      <c r="K713" s="350">
        <f>5/12</f>
        <v>0.41666666666666669</v>
      </c>
      <c r="L713" s="66">
        <v>0</v>
      </c>
      <c r="M713" s="66"/>
    </row>
    <row r="714" spans="1:13">
      <c r="A714" s="84">
        <v>16</v>
      </c>
      <c r="B714" s="826" t="s">
        <v>75</v>
      </c>
      <c r="C714" s="827"/>
      <c r="D714" s="57"/>
      <c r="E714" s="119"/>
      <c r="F714" s="131"/>
      <c r="G714" s="119"/>
      <c r="H714" s="156"/>
      <c r="I714" s="123"/>
      <c r="J714" s="152"/>
      <c r="K714" s="152"/>
      <c r="L714" s="152"/>
      <c r="M714" s="131"/>
    </row>
    <row r="715" spans="1:13">
      <c r="A715" s="84"/>
      <c r="B715" s="94" t="s">
        <v>72</v>
      </c>
      <c r="C715" s="95" t="s">
        <v>103</v>
      </c>
      <c r="D715" s="80">
        <v>10000000</v>
      </c>
      <c r="E715" s="124"/>
      <c r="F715" s="131"/>
      <c r="G715" s="218">
        <v>3000000</v>
      </c>
      <c r="H715" s="312">
        <f>G715/D715*100</f>
        <v>30</v>
      </c>
      <c r="I715" s="313">
        <f t="shared" ref="I715" si="266">G715</f>
        <v>3000000</v>
      </c>
      <c r="J715" s="314">
        <f t="shared" ref="J715" si="267">I715/D715*100</f>
        <v>30</v>
      </c>
      <c r="K715" s="339">
        <f>5/12</f>
        <v>0.41666666666666669</v>
      </c>
      <c r="L715" s="311">
        <f>J715</f>
        <v>30</v>
      </c>
      <c r="M715" s="131"/>
    </row>
    <row r="716" spans="1:13">
      <c r="A716" s="93"/>
      <c r="B716" s="83"/>
      <c r="C716" s="65" t="s">
        <v>45</v>
      </c>
      <c r="D716" s="66">
        <f>SUM(D715)</f>
        <v>10000000</v>
      </c>
      <c r="E716" s="66">
        <f t="shared" ref="E716:F716" si="268">SUM(E714:E715)</f>
        <v>0</v>
      </c>
      <c r="F716" s="66">
        <f t="shared" si="268"/>
        <v>0</v>
      </c>
      <c r="G716" s="122">
        <f>SUM(G715)</f>
        <v>3000000</v>
      </c>
      <c r="H716" s="302">
        <f t="shared" ref="H716:J716" si="269">SUM(H715)</f>
        <v>30</v>
      </c>
      <c r="I716" s="122">
        <f t="shared" si="269"/>
        <v>3000000</v>
      </c>
      <c r="J716" s="302">
        <f t="shared" si="269"/>
        <v>30</v>
      </c>
      <c r="K716" s="333">
        <f>SUM(K715)</f>
        <v>0.41666666666666669</v>
      </c>
      <c r="L716" s="302">
        <f t="shared" ref="L716" si="270">SUM(L715)</f>
        <v>30</v>
      </c>
      <c r="M716" s="66"/>
    </row>
    <row r="717" spans="1:13">
      <c r="A717" s="84">
        <v>22</v>
      </c>
      <c r="B717" s="826" t="s">
        <v>87</v>
      </c>
      <c r="C717" s="827"/>
      <c r="D717" s="57"/>
      <c r="E717" s="119"/>
      <c r="F717" s="131"/>
      <c r="G717" s="119"/>
      <c r="H717" s="152"/>
      <c r="I717" s="119"/>
      <c r="J717" s="152"/>
      <c r="K717" s="152"/>
      <c r="L717" s="152"/>
      <c r="M717" s="131"/>
    </row>
    <row r="718" spans="1:13" ht="25.5">
      <c r="A718" s="84"/>
      <c r="B718" s="47" t="s">
        <v>26</v>
      </c>
      <c r="C718" s="95" t="s">
        <v>76</v>
      </c>
      <c r="D718" s="60">
        <v>3500000</v>
      </c>
      <c r="E718" s="125">
        <v>0</v>
      </c>
      <c r="F718" s="135">
        <v>0</v>
      </c>
      <c r="G718" s="197">
        <v>875000</v>
      </c>
      <c r="H718" s="312">
        <f>G718/D718*100</f>
        <v>25</v>
      </c>
      <c r="I718" s="197">
        <f>G718</f>
        <v>875000</v>
      </c>
      <c r="J718" s="314">
        <f t="shared" ref="J718:J719" si="271">I718/D718*100</f>
        <v>25</v>
      </c>
      <c r="K718" s="339">
        <f>5/12</f>
        <v>0.41666666666666669</v>
      </c>
      <c r="L718" s="311">
        <f>J718</f>
        <v>25</v>
      </c>
      <c r="M718" s="132"/>
    </row>
    <row r="719" spans="1:13">
      <c r="A719" s="63"/>
      <c r="B719" s="83"/>
      <c r="C719" s="65" t="s">
        <v>45</v>
      </c>
      <c r="D719" s="66">
        <f>SUM(D718:D718)</f>
        <v>3500000</v>
      </c>
      <c r="E719" s="66">
        <f t="shared" ref="E719:F719" si="272">SUM(E716:E718)</f>
        <v>0</v>
      </c>
      <c r="F719" s="66">
        <f t="shared" si="272"/>
        <v>0</v>
      </c>
      <c r="G719" s="122">
        <f>SUM(G718)</f>
        <v>875000</v>
      </c>
      <c r="H719" s="312">
        <f>G719/D719*100</f>
        <v>25</v>
      </c>
      <c r="I719" s="122">
        <f>SUM(I718)</f>
        <v>875000</v>
      </c>
      <c r="J719" s="314">
        <f t="shared" si="271"/>
        <v>25</v>
      </c>
      <c r="K719" s="333">
        <f>SUM(K718)</f>
        <v>0.41666666666666669</v>
      </c>
      <c r="L719" s="302">
        <f>SUM(L718)</f>
        <v>25</v>
      </c>
      <c r="M719" s="66"/>
    </row>
    <row r="720" spans="1:13">
      <c r="A720" s="44">
        <v>17</v>
      </c>
      <c r="B720" s="822" t="s">
        <v>56</v>
      </c>
      <c r="C720" s="823"/>
      <c r="D720" s="57"/>
      <c r="E720" s="119"/>
      <c r="F720" s="131"/>
      <c r="G720" s="119"/>
      <c r="H720" s="152"/>
      <c r="I720" s="119"/>
      <c r="J720" s="152"/>
      <c r="K720" s="152"/>
      <c r="L720" s="152"/>
      <c r="M720" s="131"/>
    </row>
    <row r="721" spans="1:13">
      <c r="A721" s="44"/>
      <c r="B721" s="47">
        <v>19</v>
      </c>
      <c r="C721" s="824" t="s">
        <v>91</v>
      </c>
      <c r="E721" s="120"/>
      <c r="F721" s="132"/>
      <c r="G721" s="119"/>
      <c r="H721" s="59"/>
      <c r="I721" s="119"/>
      <c r="J721" s="59"/>
      <c r="K721" s="59"/>
      <c r="L721" s="59"/>
      <c r="M721" s="132"/>
    </row>
    <row r="722" spans="1:13">
      <c r="A722" s="44"/>
      <c r="B722" s="163"/>
      <c r="C722" s="825"/>
      <c r="D722" s="60">
        <v>25000000</v>
      </c>
      <c r="E722" s="164">
        <v>0</v>
      </c>
      <c r="F722" s="165">
        <v>0</v>
      </c>
      <c r="G722" s="330">
        <v>5980000</v>
      </c>
      <c r="H722" s="312">
        <f>G722/D722*100</f>
        <v>23.919999999999998</v>
      </c>
      <c r="I722" s="197">
        <f>G722</f>
        <v>5980000</v>
      </c>
      <c r="J722" s="314">
        <f t="shared" ref="J722" si="273">I722/D722*100</f>
        <v>23.919999999999998</v>
      </c>
      <c r="K722" s="339">
        <f>5/12</f>
        <v>0.41666666666666669</v>
      </c>
      <c r="L722" s="314">
        <f>J722</f>
        <v>23.919999999999998</v>
      </c>
      <c r="M722" s="165"/>
    </row>
    <row r="723" spans="1:13">
      <c r="A723" s="63"/>
      <c r="B723" s="96"/>
      <c r="C723" s="65" t="s">
        <v>45</v>
      </c>
      <c r="D723" s="66">
        <f>SUM(D722:D722)</f>
        <v>25000000</v>
      </c>
      <c r="E723" s="122">
        <f>SUM(E721:E721)</f>
        <v>0</v>
      </c>
      <c r="F723" s="137">
        <f>SUM(F721:F721)</f>
        <v>0</v>
      </c>
      <c r="G723" s="122">
        <f>SUM(G722)</f>
        <v>5980000</v>
      </c>
      <c r="H723" s="302">
        <f>SUM(H722)</f>
        <v>23.919999999999998</v>
      </c>
      <c r="I723" s="122">
        <f>SUM(I722)</f>
        <v>5980000</v>
      </c>
      <c r="J723" s="324">
        <f>SUM(J722)</f>
        <v>23.919999999999998</v>
      </c>
      <c r="K723" s="333">
        <f>SUM(K722)</f>
        <v>0.41666666666666669</v>
      </c>
      <c r="L723" s="340">
        <f>J723</f>
        <v>23.919999999999998</v>
      </c>
      <c r="M723" s="137"/>
    </row>
    <row r="724" spans="1:13">
      <c r="A724" s="44">
        <v>19</v>
      </c>
      <c r="B724" s="826" t="s">
        <v>57</v>
      </c>
      <c r="C724" s="827"/>
      <c r="D724" s="57"/>
      <c r="E724" s="119"/>
      <c r="F724" s="131"/>
      <c r="G724" s="119"/>
      <c r="H724" s="152"/>
      <c r="I724" s="119"/>
      <c r="J724" s="152"/>
      <c r="K724" s="152"/>
      <c r="L724" s="152"/>
      <c r="M724" s="131"/>
    </row>
    <row r="725" spans="1:13">
      <c r="A725" s="44"/>
      <c r="B725" s="47" t="s">
        <v>26</v>
      </c>
      <c r="C725" s="48" t="s">
        <v>58</v>
      </c>
      <c r="D725" s="60">
        <v>15000000</v>
      </c>
      <c r="E725" s="120">
        <v>0</v>
      </c>
      <c r="F725" s="132">
        <v>0</v>
      </c>
      <c r="G725" s="197">
        <v>15000000</v>
      </c>
      <c r="H725" s="59">
        <f>G725/D725*100</f>
        <v>100</v>
      </c>
      <c r="I725" s="197">
        <f>G725</f>
        <v>15000000</v>
      </c>
      <c r="J725" s="301">
        <f>I725/D725*100</f>
        <v>100</v>
      </c>
      <c r="K725" s="339">
        <f>5/12</f>
        <v>0.41666666666666669</v>
      </c>
      <c r="L725" s="311">
        <f>J725</f>
        <v>100</v>
      </c>
      <c r="M725" s="132"/>
    </row>
    <row r="726" spans="1:13">
      <c r="A726" s="183"/>
      <c r="B726" s="64"/>
      <c r="C726" s="65" t="s">
        <v>45</v>
      </c>
      <c r="D726" s="66">
        <f>SUM(D725)</f>
        <v>15000000</v>
      </c>
      <c r="E726" s="122">
        <f>SUM(E723:E723)</f>
        <v>0</v>
      </c>
      <c r="F726" s="66">
        <f>SUM(F723:F723)</f>
        <v>0</v>
      </c>
      <c r="G726" s="122">
        <f>G725</f>
        <v>15000000</v>
      </c>
      <c r="H726" s="66">
        <f>G726/D726*100</f>
        <v>100</v>
      </c>
      <c r="I726" s="122">
        <f>I725</f>
        <v>15000000</v>
      </c>
      <c r="J726" s="324">
        <f>I726/D726*100</f>
        <v>100</v>
      </c>
      <c r="K726" s="333">
        <f>SUM(K725)</f>
        <v>0.41666666666666669</v>
      </c>
      <c r="L726" s="302">
        <f>SUM(L725)</f>
        <v>100</v>
      </c>
      <c r="M726" s="66"/>
    </row>
    <row r="727" spans="1:13">
      <c r="A727" s="44">
        <v>32</v>
      </c>
      <c r="B727" s="97" t="s">
        <v>59</v>
      </c>
      <c r="C727" s="98"/>
      <c r="D727" s="57"/>
      <c r="E727" s="119"/>
      <c r="F727" s="131"/>
      <c r="G727" s="119"/>
      <c r="H727" s="152"/>
      <c r="I727" s="119"/>
      <c r="J727" s="152"/>
      <c r="K727" s="152"/>
      <c r="L727" s="152"/>
      <c r="M727" s="131"/>
    </row>
    <row r="728" spans="1:13">
      <c r="A728" s="44"/>
      <c r="B728" s="47" t="s">
        <v>26</v>
      </c>
      <c r="C728" s="58" t="s">
        <v>60</v>
      </c>
      <c r="D728" s="60">
        <v>15000000</v>
      </c>
      <c r="E728" s="120">
        <v>0</v>
      </c>
      <c r="F728" s="132">
        <v>0</v>
      </c>
      <c r="G728" s="197">
        <f>750000+225000</f>
        <v>975000</v>
      </c>
      <c r="H728" s="301">
        <f>G728/D728*100</f>
        <v>6.5</v>
      </c>
      <c r="I728" s="192">
        <f>G728</f>
        <v>975000</v>
      </c>
      <c r="J728" s="301">
        <f>I728/D728*100</f>
        <v>6.5</v>
      </c>
      <c r="K728" s="339">
        <f>5/12</f>
        <v>0.41666666666666669</v>
      </c>
      <c r="L728" s="311">
        <f>J728</f>
        <v>6.5</v>
      </c>
      <c r="M728" s="132"/>
    </row>
    <row r="729" spans="1:13">
      <c r="A729" s="63"/>
      <c r="B729" s="64"/>
      <c r="C729" s="65" t="s">
        <v>45</v>
      </c>
      <c r="D729" s="66">
        <f>SUM(D728)</f>
        <v>15000000</v>
      </c>
      <c r="E729" s="122">
        <f>SUM(E728:E728)</f>
        <v>0</v>
      </c>
      <c r="F729" s="66">
        <f>SUM(F728:F728)</f>
        <v>0</v>
      </c>
      <c r="G729" s="122">
        <f>G728</f>
        <v>975000</v>
      </c>
      <c r="H729" s="302">
        <f>G729/D729*100</f>
        <v>6.5</v>
      </c>
      <c r="I729" s="122">
        <f>I728</f>
        <v>975000</v>
      </c>
      <c r="J729" s="302">
        <f>I729/D729*100</f>
        <v>6.5</v>
      </c>
      <c r="K729" s="333">
        <f>SUM(K728:K728)</f>
        <v>0.41666666666666669</v>
      </c>
      <c r="L729" s="302">
        <f>SUM(L728:L728)</f>
        <v>6.5</v>
      </c>
      <c r="M729" s="66"/>
    </row>
    <row r="730" spans="1:13">
      <c r="A730" s="99">
        <v>15</v>
      </c>
      <c r="B730" s="100" t="s">
        <v>77</v>
      </c>
      <c r="C730" s="516"/>
      <c r="D730" s="70"/>
      <c r="E730" s="123"/>
      <c r="F730" s="134"/>
      <c r="G730" s="123"/>
      <c r="H730" s="156"/>
      <c r="I730" s="123"/>
      <c r="J730" s="144"/>
      <c r="K730" s="156"/>
      <c r="L730" s="156"/>
      <c r="M730" s="134"/>
    </row>
    <row r="731" spans="1:13">
      <c r="A731" s="84"/>
      <c r="B731" s="101" t="s">
        <v>78</v>
      </c>
      <c r="C731" s="48"/>
      <c r="D731" s="102"/>
      <c r="E731" s="119"/>
      <c r="F731" s="131"/>
      <c r="G731" s="119"/>
      <c r="H731" s="152"/>
      <c r="I731" s="119"/>
      <c r="J731" s="59"/>
      <c r="K731" s="152"/>
      <c r="L731" s="152"/>
      <c r="M731" s="131"/>
    </row>
    <row r="732" spans="1:13">
      <c r="A732" s="44"/>
      <c r="B732" s="47" t="s">
        <v>26</v>
      </c>
      <c r="C732" s="48" t="s">
        <v>79</v>
      </c>
      <c r="D732" s="60">
        <v>5000000</v>
      </c>
      <c r="E732" s="120">
        <v>0</v>
      </c>
      <c r="F732" s="132">
        <v>0</v>
      </c>
      <c r="G732" s="199" t="s">
        <v>132</v>
      </c>
      <c r="H732" s="59" t="s">
        <v>132</v>
      </c>
      <c r="I732" s="199" t="s">
        <v>132</v>
      </c>
      <c r="J732" s="59" t="s">
        <v>132</v>
      </c>
      <c r="K732" s="339">
        <f>5/12</f>
        <v>0.41666666666666669</v>
      </c>
      <c r="L732" s="59">
        <v>0</v>
      </c>
      <c r="M732" s="132"/>
    </row>
    <row r="733" spans="1:13">
      <c r="A733" s="89"/>
      <c r="B733" s="61" t="s">
        <v>80</v>
      </c>
      <c r="C733" s="103" t="s">
        <v>104</v>
      </c>
      <c r="D733" s="91">
        <v>15000000</v>
      </c>
      <c r="E733" s="127">
        <v>0</v>
      </c>
      <c r="F733" s="138">
        <v>0</v>
      </c>
      <c r="G733" s="197">
        <v>15000000</v>
      </c>
      <c r="H733" s="59">
        <f>G733/D733*100</f>
        <v>100</v>
      </c>
      <c r="I733" s="197">
        <f>G733</f>
        <v>15000000</v>
      </c>
      <c r="J733" s="301">
        <f>I733/D733*100</f>
        <v>100</v>
      </c>
      <c r="K733" s="355">
        <f>5/12</f>
        <v>0.41666666666666669</v>
      </c>
      <c r="L733" s="157">
        <v>0</v>
      </c>
      <c r="M733" s="136"/>
    </row>
    <row r="734" spans="1:13">
      <c r="A734" s="93"/>
      <c r="B734" s="83"/>
      <c r="C734" s="65" t="s">
        <v>45</v>
      </c>
      <c r="D734" s="66">
        <f>SUM(D732:D733)</f>
        <v>20000000</v>
      </c>
      <c r="E734" s="66">
        <f>SUM(E732:E733)</f>
        <v>0</v>
      </c>
      <c r="F734" s="66">
        <f t="shared" ref="F734" si="274">SUM(F732:F733)</f>
        <v>0</v>
      </c>
      <c r="G734" s="122">
        <f>SUM(G733)</f>
        <v>15000000</v>
      </c>
      <c r="H734" s="302">
        <f>G734/D734*100</f>
        <v>75</v>
      </c>
      <c r="I734" s="197">
        <f>SUM(I733)</f>
        <v>15000000</v>
      </c>
      <c r="J734" s="302">
        <f>I734/D734*100</f>
        <v>75</v>
      </c>
      <c r="K734" s="350">
        <f>5/12</f>
        <v>0.41666666666666669</v>
      </c>
      <c r="L734" s="66">
        <f t="shared" ref="L734" si="275">SUM(L732:L733)</f>
        <v>0</v>
      </c>
      <c r="M734" s="66"/>
    </row>
    <row r="735" spans="1:13">
      <c r="A735" s="84">
        <v>18</v>
      </c>
      <c r="B735" s="75" t="s">
        <v>82</v>
      </c>
      <c r="C735" s="76"/>
      <c r="D735" s="57"/>
      <c r="E735" s="119"/>
      <c r="F735" s="131"/>
      <c r="G735" s="119"/>
      <c r="H735" s="152"/>
      <c r="I735" s="119"/>
      <c r="J735" s="152"/>
      <c r="K735" s="152"/>
      <c r="L735" s="152"/>
      <c r="M735" s="131"/>
    </row>
    <row r="736" spans="1:13" ht="26.25">
      <c r="A736" s="84"/>
      <c r="B736" s="94" t="s">
        <v>29</v>
      </c>
      <c r="C736" s="48" t="s">
        <v>92</v>
      </c>
      <c r="D736" s="60">
        <v>7500000</v>
      </c>
      <c r="E736" s="120">
        <v>0</v>
      </c>
      <c r="F736" s="132">
        <v>0</v>
      </c>
      <c r="G736" s="199">
        <v>7500000</v>
      </c>
      <c r="H736" s="301">
        <f>G736/D736*100</f>
        <v>100</v>
      </c>
      <c r="I736" s="192">
        <f>G736</f>
        <v>7500000</v>
      </c>
      <c r="J736" s="301">
        <f t="shared" ref="J736" si="276">I736/D736*100</f>
        <v>100</v>
      </c>
      <c r="K736" s="339">
        <f>5/12</f>
        <v>0.41666666666666669</v>
      </c>
      <c r="L736" s="311">
        <f>J736</f>
        <v>100</v>
      </c>
      <c r="M736" s="131"/>
    </row>
    <row r="737" spans="1:13" ht="26.25">
      <c r="A737" s="84"/>
      <c r="B737" s="94" t="s">
        <v>83</v>
      </c>
      <c r="C737" s="48" t="s">
        <v>93</v>
      </c>
      <c r="D737" s="62">
        <v>10000000</v>
      </c>
      <c r="E737" s="121">
        <v>0</v>
      </c>
      <c r="F737" s="133">
        <v>0</v>
      </c>
      <c r="G737" s="200">
        <v>10000000</v>
      </c>
      <c r="H737" s="301">
        <f>G737/D737*100</f>
        <v>100</v>
      </c>
      <c r="I737" s="200">
        <f>G737</f>
        <v>10000000</v>
      </c>
      <c r="J737" s="301">
        <f>I737/D737*100</f>
        <v>100</v>
      </c>
      <c r="K737" s="355">
        <f>5/12</f>
        <v>0.41666666666666669</v>
      </c>
      <c r="L737" s="311">
        <f>J737</f>
        <v>100</v>
      </c>
      <c r="M737" s="131"/>
    </row>
    <row r="738" spans="1:13">
      <c r="A738" s="93"/>
      <c r="B738" s="64"/>
      <c r="C738" s="65" t="s">
        <v>45</v>
      </c>
      <c r="D738" s="66">
        <f>SUM(D736:D737)</f>
        <v>17500000</v>
      </c>
      <c r="E738" s="66">
        <f t="shared" ref="E738:F738" si="277">SUM(E736:E737)</f>
        <v>0</v>
      </c>
      <c r="F738" s="66">
        <f t="shared" si="277"/>
        <v>0</v>
      </c>
      <c r="G738" s="122">
        <f>SUM(G736:G737)</f>
        <v>17500000</v>
      </c>
      <c r="H738" s="302">
        <f>G738/D738*100</f>
        <v>100</v>
      </c>
      <c r="I738" s="122">
        <f t="shared" ref="I738" si="278">SUM(I736:I737)</f>
        <v>17500000</v>
      </c>
      <c r="J738" s="302">
        <f>I738/D738*100</f>
        <v>100</v>
      </c>
      <c r="K738" s="350">
        <f>5/12</f>
        <v>0.41666666666666669</v>
      </c>
      <c r="L738" s="302">
        <f>SUM(L737:L737)</f>
        <v>100</v>
      </c>
      <c r="M738" s="66"/>
    </row>
    <row r="739" spans="1:13">
      <c r="A739" s="99">
        <v>26</v>
      </c>
      <c r="B739" s="104" t="s">
        <v>105</v>
      </c>
      <c r="C739" s="105"/>
      <c r="D739" s="57"/>
      <c r="E739" s="119"/>
      <c r="F739" s="131"/>
      <c r="G739" s="119"/>
      <c r="H739" s="152"/>
      <c r="I739" s="119"/>
      <c r="J739" s="152"/>
      <c r="K739" s="152"/>
      <c r="L739" s="152"/>
      <c r="M739" s="131"/>
    </row>
    <row r="740" spans="1:13">
      <c r="A740" s="44"/>
      <c r="B740" s="47" t="s">
        <v>84</v>
      </c>
      <c r="C740" s="48" t="s">
        <v>106</v>
      </c>
      <c r="D740" s="60">
        <v>5000000</v>
      </c>
      <c r="E740" s="120" t="s">
        <v>132</v>
      </c>
      <c r="F740" s="132">
        <v>0</v>
      </c>
      <c r="G740" s="120" t="s">
        <v>132</v>
      </c>
      <c r="H740" s="59" t="s">
        <v>132</v>
      </c>
      <c r="I740" s="120">
        <v>0</v>
      </c>
      <c r="J740" s="59" t="s">
        <v>132</v>
      </c>
      <c r="K740" s="157">
        <v>0</v>
      </c>
      <c r="L740" s="59">
        <v>0</v>
      </c>
      <c r="M740" s="132"/>
    </row>
    <row r="741" spans="1:13">
      <c r="A741" s="63"/>
      <c r="B741" s="64"/>
      <c r="C741" s="65" t="s">
        <v>45</v>
      </c>
      <c r="D741" s="66">
        <f>SUM(D740)</f>
        <v>5000000</v>
      </c>
      <c r="E741" s="66">
        <v>0</v>
      </c>
      <c r="F741" s="66">
        <f t="shared" ref="F741" si="279">SUM(F738:F740)</f>
        <v>0</v>
      </c>
      <c r="G741" s="122" t="s">
        <v>132</v>
      </c>
      <c r="H741" s="66" t="s">
        <v>132</v>
      </c>
      <c r="I741" s="122" t="s">
        <v>132</v>
      </c>
      <c r="J741" s="66" t="s">
        <v>132</v>
      </c>
      <c r="K741" s="66">
        <f>SUM(K740)</f>
        <v>0</v>
      </c>
      <c r="L741" s="66">
        <v>0</v>
      </c>
      <c r="M741" s="66"/>
    </row>
    <row r="742" spans="1:13">
      <c r="A742" s="99">
        <v>16</v>
      </c>
      <c r="B742" s="104" t="s">
        <v>123</v>
      </c>
      <c r="C742" s="105"/>
      <c r="D742" s="57"/>
      <c r="E742" s="119"/>
      <c r="F742" s="131"/>
      <c r="G742" s="119"/>
      <c r="H742" s="152"/>
      <c r="I742" s="119"/>
      <c r="J742" s="152"/>
      <c r="K742" s="152"/>
      <c r="L742" s="152"/>
      <c r="M742" s="131"/>
    </row>
    <row r="743" spans="1:13">
      <c r="A743" s="84"/>
      <c r="B743" s="185" t="s">
        <v>124</v>
      </c>
      <c r="C743" s="186"/>
      <c r="D743" s="182"/>
      <c r="E743" s="124"/>
      <c r="F743" s="131"/>
      <c r="G743" s="131"/>
      <c r="H743" s="152"/>
      <c r="I743" s="131"/>
      <c r="J743" s="152"/>
      <c r="K743" s="152"/>
      <c r="L743" s="152"/>
      <c r="M743" s="152"/>
    </row>
    <row r="744" spans="1:13" ht="26.25">
      <c r="A744" s="44"/>
      <c r="B744" s="282" t="s">
        <v>46</v>
      </c>
      <c r="C744" s="50" t="s">
        <v>217</v>
      </c>
      <c r="D744" s="60">
        <v>27000000</v>
      </c>
      <c r="E744" s="125">
        <v>0</v>
      </c>
      <c r="F744" s="135">
        <v>0</v>
      </c>
      <c r="G744" s="124">
        <v>0</v>
      </c>
      <c r="H744" s="59" t="s">
        <v>132</v>
      </c>
      <c r="I744" s="124">
        <v>0</v>
      </c>
      <c r="J744" s="59" t="s">
        <v>132</v>
      </c>
      <c r="K744" s="59">
        <v>0</v>
      </c>
      <c r="L744" s="59">
        <v>0</v>
      </c>
      <c r="M744" s="59"/>
    </row>
    <row r="745" spans="1:13">
      <c r="A745" s="44"/>
      <c r="B745" s="163" t="s">
        <v>111</v>
      </c>
      <c r="C745" s="204" t="s">
        <v>81</v>
      </c>
      <c r="D745" s="205">
        <v>3000000</v>
      </c>
      <c r="E745" s="125">
        <v>0</v>
      </c>
      <c r="F745" s="135">
        <v>0</v>
      </c>
      <c r="G745" s="201" t="s">
        <v>132</v>
      </c>
      <c r="H745" s="187" t="s">
        <v>132</v>
      </c>
      <c r="I745" s="201" t="s">
        <v>132</v>
      </c>
      <c r="J745" s="187" t="s">
        <v>132</v>
      </c>
      <c r="K745" s="212">
        <v>0</v>
      </c>
      <c r="L745" s="187"/>
      <c r="M745" s="188"/>
    </row>
    <row r="746" spans="1:13">
      <c r="A746" s="63"/>
      <c r="B746" s="64"/>
      <c r="C746" s="65" t="s">
        <v>45</v>
      </c>
      <c r="D746" s="66">
        <f>SUM(D744:D745)</f>
        <v>30000000</v>
      </c>
      <c r="E746" s="66">
        <f>SUM(E744:E745)</f>
        <v>0</v>
      </c>
      <c r="F746" s="66">
        <f>SUM(F744:F745)</f>
        <v>0</v>
      </c>
      <c r="G746" s="122" t="s">
        <v>132</v>
      </c>
      <c r="H746" s="66" t="s">
        <v>132</v>
      </c>
      <c r="I746" s="122">
        <f>SUM(I744:I745)</f>
        <v>0</v>
      </c>
      <c r="J746" s="66" t="s">
        <v>132</v>
      </c>
      <c r="K746" s="66">
        <f>SUM(K744:K745)</f>
        <v>0</v>
      </c>
      <c r="L746" s="66">
        <f>SUM(L744:L745)</f>
        <v>0</v>
      </c>
      <c r="M746" s="66"/>
    </row>
    <row r="747" spans="1:13">
      <c r="A747" s="99">
        <v>17</v>
      </c>
      <c r="B747" s="104" t="s">
        <v>127</v>
      </c>
      <c r="C747" s="105"/>
      <c r="D747" s="57"/>
      <c r="E747" s="119"/>
      <c r="F747" s="131"/>
      <c r="G747" s="119"/>
      <c r="H747" s="152"/>
      <c r="I747" s="119"/>
      <c r="J747" s="152"/>
      <c r="K747" s="152"/>
      <c r="L747" s="152"/>
      <c r="M747" s="131"/>
    </row>
    <row r="748" spans="1:13" ht="26.25">
      <c r="A748" s="44"/>
      <c r="B748" s="47" t="s">
        <v>84</v>
      </c>
      <c r="C748" s="48" t="s">
        <v>128</v>
      </c>
      <c r="D748" s="60">
        <v>10000000</v>
      </c>
      <c r="E748" s="120">
        <v>0</v>
      </c>
      <c r="F748" s="132">
        <v>0</v>
      </c>
      <c r="G748" s="120" t="s">
        <v>132</v>
      </c>
      <c r="H748" s="59" t="s">
        <v>132</v>
      </c>
      <c r="I748" s="120">
        <v>0</v>
      </c>
      <c r="J748" s="59" t="s">
        <v>132</v>
      </c>
      <c r="K748" s="157">
        <v>0</v>
      </c>
      <c r="L748" s="59">
        <v>0</v>
      </c>
      <c r="M748" s="132"/>
    </row>
    <row r="749" spans="1:13">
      <c r="A749" s="63"/>
      <c r="B749" s="64"/>
      <c r="C749" s="65" t="s">
        <v>45</v>
      </c>
      <c r="D749" s="66">
        <f>SUM(D748)</f>
        <v>10000000</v>
      </c>
      <c r="E749" s="66">
        <f t="shared" ref="E749:F749" si="280">SUM(E746:E748)</f>
        <v>0</v>
      </c>
      <c r="F749" s="66">
        <f t="shared" si="280"/>
        <v>0</v>
      </c>
      <c r="G749" s="122" t="s">
        <v>132</v>
      </c>
      <c r="H749" s="66" t="s">
        <v>132</v>
      </c>
      <c r="I749" s="122" t="s">
        <v>132</v>
      </c>
      <c r="J749" s="66" t="s">
        <v>132</v>
      </c>
      <c r="K749" s="66">
        <f>SUM(K748)</f>
        <v>0</v>
      </c>
      <c r="L749" s="66">
        <v>0</v>
      </c>
      <c r="M749" s="66"/>
    </row>
    <row r="750" spans="1:13">
      <c r="A750" s="44">
        <v>18</v>
      </c>
      <c r="B750" s="104" t="s">
        <v>218</v>
      </c>
      <c r="C750" s="105"/>
      <c r="D750" s="70"/>
      <c r="E750" s="70"/>
      <c r="F750" s="70"/>
      <c r="G750" s="287"/>
      <c r="H750" s="70"/>
      <c r="I750" s="287"/>
      <c r="J750" s="70"/>
      <c r="K750" s="70"/>
      <c r="L750" s="70"/>
      <c r="M750" s="70"/>
    </row>
    <row r="751" spans="1:13" ht="25.5">
      <c r="A751" s="44"/>
      <c r="B751" s="283" t="s">
        <v>83</v>
      </c>
      <c r="C751" s="284" t="s">
        <v>219</v>
      </c>
      <c r="D751" s="288">
        <v>50000000</v>
      </c>
      <c r="E751" s="285">
        <v>0</v>
      </c>
      <c r="F751" s="285">
        <v>0</v>
      </c>
      <c r="G751" s="286">
        <v>0</v>
      </c>
      <c r="H751" s="285">
        <v>0</v>
      </c>
      <c r="I751" s="286">
        <v>0</v>
      </c>
      <c r="J751" s="285">
        <v>0</v>
      </c>
      <c r="K751" s="157">
        <v>0</v>
      </c>
      <c r="L751" s="285">
        <v>0</v>
      </c>
      <c r="M751" s="285"/>
    </row>
    <row r="752" spans="1:13">
      <c r="A752" s="63"/>
      <c r="B752" s="64"/>
      <c r="C752" s="65" t="s">
        <v>45</v>
      </c>
      <c r="D752" s="66">
        <f>SUM(D751)</f>
        <v>50000000</v>
      </c>
      <c r="E752" s="66">
        <v>0</v>
      </c>
      <c r="F752" s="66">
        <v>0</v>
      </c>
      <c r="G752" s="122">
        <v>0</v>
      </c>
      <c r="H752" s="66">
        <v>0</v>
      </c>
      <c r="I752" s="122">
        <v>0</v>
      </c>
      <c r="J752" s="66">
        <v>0</v>
      </c>
      <c r="K752" s="66">
        <f>SUM(K751)</f>
        <v>0</v>
      </c>
      <c r="L752" s="66">
        <v>0</v>
      </c>
      <c r="M752" s="66"/>
    </row>
    <row r="753" spans="1:13">
      <c r="A753" s="44">
        <v>24</v>
      </c>
      <c r="B753" s="104" t="s">
        <v>221</v>
      </c>
      <c r="C753" s="105"/>
      <c r="D753" s="70"/>
      <c r="E753" s="70"/>
      <c r="F753" s="70"/>
      <c r="G753" s="287"/>
      <c r="H753" s="70"/>
      <c r="I753" s="287"/>
      <c r="J753" s="70"/>
      <c r="K753" s="70"/>
      <c r="L753" s="70"/>
      <c r="M753" s="70"/>
    </row>
    <row r="754" spans="1:13">
      <c r="A754" s="44"/>
      <c r="B754" s="283" t="s">
        <v>83</v>
      </c>
      <c r="C754" s="284" t="s">
        <v>222</v>
      </c>
      <c r="D754" s="288">
        <v>50000000</v>
      </c>
      <c r="E754" s="285">
        <v>0</v>
      </c>
      <c r="F754" s="285">
        <v>0</v>
      </c>
      <c r="G754" s="286">
        <v>0</v>
      </c>
      <c r="H754" s="285">
        <v>0</v>
      </c>
      <c r="I754" s="286">
        <v>0</v>
      </c>
      <c r="J754" s="285">
        <v>0</v>
      </c>
      <c r="K754" s="157">
        <v>0</v>
      </c>
      <c r="L754" s="285">
        <v>0</v>
      </c>
      <c r="M754" s="285"/>
    </row>
    <row r="755" spans="1:13">
      <c r="A755" s="63"/>
      <c r="B755" s="64"/>
      <c r="C755" s="65" t="s">
        <v>45</v>
      </c>
      <c r="D755" s="66">
        <f>SUM(D754)</f>
        <v>50000000</v>
      </c>
      <c r="E755" s="66">
        <v>0</v>
      </c>
      <c r="F755" s="66">
        <v>0</v>
      </c>
      <c r="G755" s="122">
        <v>0</v>
      </c>
      <c r="H755" s="66">
        <v>0</v>
      </c>
      <c r="I755" s="122">
        <v>0</v>
      </c>
      <c r="J755" s="66">
        <v>0</v>
      </c>
      <c r="K755" s="66">
        <f>SUM(K754)</f>
        <v>0</v>
      </c>
      <c r="L755" s="66">
        <v>0</v>
      </c>
      <c r="M755" s="66"/>
    </row>
    <row r="756" spans="1:13" ht="15.75" thickBot="1">
      <c r="A756" s="166"/>
      <c r="B756" s="167" t="s">
        <v>85</v>
      </c>
      <c r="C756" s="106"/>
      <c r="D756" s="107">
        <f>D650+D647</f>
        <v>3251325000</v>
      </c>
      <c r="E756" s="107">
        <f>E650+E647</f>
        <v>0</v>
      </c>
      <c r="F756" s="107">
        <f>F650+F647</f>
        <v>0</v>
      </c>
      <c r="G756" s="107">
        <f>G647+G650</f>
        <v>1358901461</v>
      </c>
      <c r="H756" s="213">
        <f>G756/D756*100</f>
        <v>41.795313018538593</v>
      </c>
      <c r="I756" s="107">
        <f>I650+I647</f>
        <v>1358901461</v>
      </c>
      <c r="J756" s="213">
        <f>I756/D756*100</f>
        <v>41.795313018538593</v>
      </c>
      <c r="K756" s="425">
        <f>5/12</f>
        <v>0.41666666666666669</v>
      </c>
      <c r="L756" s="213">
        <f>J756</f>
        <v>41.795313018538593</v>
      </c>
      <c r="M756" s="158"/>
    </row>
    <row r="757" spans="1:13" ht="15.75" thickTop="1">
      <c r="A757" s="342"/>
      <c r="B757" s="343"/>
      <c r="C757" s="344"/>
      <c r="D757" s="345"/>
      <c r="E757" s="345"/>
      <c r="F757" s="345"/>
      <c r="G757" s="345"/>
      <c r="H757" s="346"/>
      <c r="I757" s="345"/>
      <c r="J757" s="346"/>
      <c r="K757" s="347"/>
      <c r="L757" s="346"/>
      <c r="M757" s="348"/>
    </row>
    <row r="758" spans="1:13">
      <c r="A758" s="168"/>
      <c r="B758" s="169"/>
      <c r="C758" s="170"/>
      <c r="D758" s="171"/>
      <c r="E758" s="108"/>
      <c r="H758" s="128"/>
      <c r="I758" s="159" t="s">
        <v>488</v>
      </c>
      <c r="J758" s="128"/>
      <c r="L758" s="128"/>
      <c r="M758" s="128"/>
    </row>
    <row r="759" spans="1:13">
      <c r="A759" s="172"/>
      <c r="B759" s="169"/>
      <c r="C759" s="173"/>
      <c r="D759" s="171"/>
      <c r="E759" s="174"/>
      <c r="H759" s="128"/>
      <c r="I759" s="159" t="s">
        <v>86</v>
      </c>
      <c r="J759" s="128"/>
      <c r="L759" s="128"/>
      <c r="M759" s="128"/>
    </row>
    <row r="760" spans="1:13">
      <c r="A760" s="172"/>
      <c r="B760" s="169"/>
      <c r="C760" s="173"/>
      <c r="D760" s="171"/>
      <c r="E760" s="174"/>
      <c r="H760" s="128"/>
      <c r="I760" s="159"/>
      <c r="J760" s="128"/>
      <c r="L760" s="128"/>
      <c r="M760" s="128"/>
    </row>
    <row r="761" spans="1:13">
      <c r="A761" s="172"/>
      <c r="B761" s="169"/>
      <c r="C761" s="173"/>
      <c r="D761" s="171"/>
      <c r="E761" s="108"/>
      <c r="H761" s="128"/>
      <c r="I761" s="159"/>
      <c r="J761" s="128"/>
      <c r="L761" s="128"/>
      <c r="M761" s="128"/>
    </row>
    <row r="762" spans="1:13">
      <c r="A762" s="175"/>
      <c r="B762" s="176"/>
      <c r="C762" s="177"/>
      <c r="D762" s="171"/>
      <c r="E762" s="108"/>
      <c r="G762" s="128" t="s">
        <v>227</v>
      </c>
      <c r="H762" s="128"/>
      <c r="I762" s="160" t="s">
        <v>120</v>
      </c>
      <c r="J762" s="128"/>
      <c r="L762" s="128"/>
      <c r="M762" s="128"/>
    </row>
    <row r="763" spans="1:13">
      <c r="A763" s="175"/>
      <c r="B763" s="176"/>
      <c r="C763" s="177"/>
      <c r="D763" s="175"/>
      <c r="E763" s="108"/>
      <c r="H763" s="128"/>
      <c r="I763" s="159" t="s">
        <v>108</v>
      </c>
      <c r="J763" s="128"/>
      <c r="L763" s="128"/>
      <c r="M763" s="128"/>
    </row>
    <row r="764" spans="1:13">
      <c r="A764" s="175"/>
      <c r="B764" s="176"/>
      <c r="C764" s="177"/>
      <c r="D764" s="175"/>
      <c r="E764" s="108"/>
      <c r="H764" s="128"/>
      <c r="I764" s="159" t="s">
        <v>121</v>
      </c>
      <c r="J764" s="128"/>
      <c r="L764" s="128"/>
      <c r="M764" s="128"/>
    </row>
    <row r="765" spans="1:13" ht="15.75">
      <c r="A765" s="832" t="s">
        <v>223</v>
      </c>
      <c r="B765" s="832"/>
      <c r="C765" s="832"/>
      <c r="D765" s="832"/>
      <c r="E765" s="832"/>
      <c r="F765" s="832"/>
      <c r="G765" s="832"/>
      <c r="H765" s="832"/>
      <c r="I765" s="832"/>
      <c r="J765" s="832"/>
      <c r="K765" s="832"/>
      <c r="L765" s="832"/>
      <c r="M765" s="832"/>
    </row>
    <row r="766" spans="1:13" ht="15.75">
      <c r="A766" s="832" t="s">
        <v>224</v>
      </c>
      <c r="B766" s="832"/>
      <c r="C766" s="832"/>
      <c r="D766" s="832"/>
      <c r="E766" s="832"/>
      <c r="F766" s="832"/>
      <c r="G766" s="832"/>
      <c r="H766" s="832"/>
      <c r="I766" s="832"/>
      <c r="J766" s="832"/>
      <c r="K766" s="832"/>
      <c r="L766" s="832"/>
      <c r="M766" s="832"/>
    </row>
    <row r="767" spans="1:13" ht="15.75">
      <c r="A767" s="523"/>
      <c r="B767" s="523"/>
      <c r="C767" s="523"/>
      <c r="D767" s="523"/>
      <c r="E767" s="523"/>
      <c r="F767" s="523"/>
      <c r="G767" s="303"/>
      <c r="H767" s="523"/>
      <c r="I767" s="523"/>
      <c r="J767" s="523"/>
      <c r="K767" s="303"/>
      <c r="L767" s="523"/>
      <c r="M767" s="523"/>
    </row>
    <row r="768" spans="1:13" ht="16.5">
      <c r="A768" s="1" t="s">
        <v>213</v>
      </c>
      <c r="B768" s="2"/>
      <c r="C768" s="3" t="s">
        <v>2</v>
      </c>
      <c r="E768" s="108"/>
      <c r="G768" s="304"/>
      <c r="H768" s="4"/>
      <c r="I768" s="5"/>
      <c r="J768" s="4"/>
      <c r="M768" s="4"/>
    </row>
    <row r="769" spans="1:13" ht="17.25" thickBot="1">
      <c r="A769" s="14" t="s">
        <v>225</v>
      </c>
      <c r="B769" s="14"/>
      <c r="C769" s="292" t="s">
        <v>489</v>
      </c>
      <c r="D769" s="129"/>
      <c r="E769" s="109"/>
      <c r="F769" s="129"/>
      <c r="G769" s="305"/>
      <c r="H769" s="14"/>
      <c r="I769" s="16"/>
      <c r="J769" s="14"/>
      <c r="K769" s="129"/>
      <c r="L769" s="15"/>
      <c r="M769" s="14"/>
    </row>
    <row r="770" spans="1:13" ht="15.75" thickTop="1">
      <c r="A770" s="833" t="s">
        <v>3</v>
      </c>
      <c r="B770" s="836" t="s">
        <v>4</v>
      </c>
      <c r="C770" s="837"/>
      <c r="D770" s="289" t="s">
        <v>5</v>
      </c>
      <c r="E770" s="110" t="s">
        <v>6</v>
      </c>
      <c r="F770" s="130"/>
      <c r="G770" s="842" t="s">
        <v>7</v>
      </c>
      <c r="H770" s="843"/>
      <c r="I770" s="843"/>
      <c r="J770" s="843"/>
      <c r="K770" s="844" t="s">
        <v>8</v>
      </c>
      <c r="L770" s="844"/>
      <c r="M770" s="833" t="s">
        <v>9</v>
      </c>
    </row>
    <row r="771" spans="1:13">
      <c r="A771" s="834"/>
      <c r="B771" s="838"/>
      <c r="C771" s="839"/>
      <c r="D771" s="290" t="s">
        <v>10</v>
      </c>
      <c r="E771" s="111" t="s">
        <v>11</v>
      </c>
      <c r="F771" s="111" t="s">
        <v>12</v>
      </c>
      <c r="G771" s="111" t="s">
        <v>13</v>
      </c>
      <c r="H771" s="845" t="s">
        <v>14</v>
      </c>
      <c r="I771" s="6" t="s">
        <v>15</v>
      </c>
      <c r="J771" s="846" t="s">
        <v>14</v>
      </c>
      <c r="K771" s="321" t="s">
        <v>16</v>
      </c>
      <c r="L771" s="7" t="s">
        <v>17</v>
      </c>
      <c r="M771" s="834"/>
    </row>
    <row r="772" spans="1:13">
      <c r="A772" s="835"/>
      <c r="B772" s="840"/>
      <c r="C772" s="841"/>
      <c r="D772" s="291" t="s">
        <v>18</v>
      </c>
      <c r="E772" s="112" t="s">
        <v>18</v>
      </c>
      <c r="F772" s="112"/>
      <c r="G772" s="306" t="s">
        <v>19</v>
      </c>
      <c r="H772" s="835"/>
      <c r="I772" s="8" t="s">
        <v>19</v>
      </c>
      <c r="J772" s="847"/>
      <c r="K772" s="322" t="s">
        <v>233</v>
      </c>
      <c r="L772" s="9" t="s">
        <v>233</v>
      </c>
      <c r="M772" s="835"/>
    </row>
    <row r="773" spans="1:13" ht="15.75" thickBot="1">
      <c r="A773" s="17">
        <v>1</v>
      </c>
      <c r="B773" s="828">
        <v>2</v>
      </c>
      <c r="C773" s="829"/>
      <c r="D773" s="113">
        <v>3</v>
      </c>
      <c r="E773" s="113">
        <v>4</v>
      </c>
      <c r="F773" s="113">
        <v>5</v>
      </c>
      <c r="G773" s="113">
        <v>6</v>
      </c>
      <c r="H773" s="18">
        <v>7</v>
      </c>
      <c r="I773" s="18">
        <v>8</v>
      </c>
      <c r="J773" s="18">
        <v>9</v>
      </c>
      <c r="K773" s="113">
        <v>10</v>
      </c>
      <c r="L773" s="18">
        <v>11</v>
      </c>
      <c r="M773" s="18">
        <v>12</v>
      </c>
    </row>
    <row r="774" spans="1:13" ht="15.75" thickBot="1">
      <c r="A774" s="35" t="s">
        <v>20</v>
      </c>
      <c r="B774" s="36" t="s">
        <v>21</v>
      </c>
      <c r="C774" s="37"/>
      <c r="D774" s="30">
        <f>D775+D776</f>
        <v>2257113000</v>
      </c>
      <c r="E774" s="30">
        <f>E775</f>
        <v>0</v>
      </c>
      <c r="F774" s="30">
        <v>0</v>
      </c>
      <c r="G774" s="30">
        <f>G775+G776</f>
        <v>1209658857</v>
      </c>
      <c r="H774" s="214">
        <f>G774/D774*100</f>
        <v>53.593189928904764</v>
      </c>
      <c r="I774" s="30">
        <f>G774</f>
        <v>1209658857</v>
      </c>
      <c r="J774" s="217">
        <f>I774/D774*100</f>
        <v>53.593189928904764</v>
      </c>
      <c r="K774" s="332">
        <f>7/12</f>
        <v>0.58333333333333337</v>
      </c>
      <c r="L774" s="215">
        <f>J774</f>
        <v>53.593189928904764</v>
      </c>
      <c r="M774" s="53"/>
    </row>
    <row r="775" spans="1:13" ht="15.75" thickBot="1">
      <c r="A775" s="38" t="s">
        <v>22</v>
      </c>
      <c r="B775" s="39" t="s">
        <v>23</v>
      </c>
      <c r="C775" s="40"/>
      <c r="D775" s="31">
        <v>1872153000</v>
      </c>
      <c r="E775" s="114">
        <v>0</v>
      </c>
      <c r="F775" s="30">
        <v>0</v>
      </c>
      <c r="G775" s="30">
        <v>1009308857</v>
      </c>
      <c r="H775" s="214">
        <f>G775/D775*100</f>
        <v>53.911665179074575</v>
      </c>
      <c r="I775" s="296">
        <f>G775</f>
        <v>1009308857</v>
      </c>
      <c r="J775" s="217">
        <f>I775/D775*100</f>
        <v>53.911665179074575</v>
      </c>
      <c r="K775" s="332">
        <f>7/12</f>
        <v>0.58333333333333337</v>
      </c>
      <c r="L775" s="215">
        <f>J775</f>
        <v>53.911665179074575</v>
      </c>
      <c r="M775" s="146"/>
    </row>
    <row r="776" spans="1:13" ht="15.75" thickBot="1">
      <c r="A776" s="139"/>
      <c r="B776" s="140" t="s">
        <v>107</v>
      </c>
      <c r="C776" s="141"/>
      <c r="D776" s="31">
        <v>384960000</v>
      </c>
      <c r="E776" s="114">
        <v>0</v>
      </c>
      <c r="F776" s="30">
        <v>0</v>
      </c>
      <c r="G776" s="351">
        <v>200350000</v>
      </c>
      <c r="H776" s="214">
        <f>G776/D776*100</f>
        <v>52.04436824605154</v>
      </c>
      <c r="I776" s="296">
        <f>G776</f>
        <v>200350000</v>
      </c>
      <c r="J776" s="217">
        <f>I776/D776*100</f>
        <v>52.04436824605154</v>
      </c>
      <c r="K776" s="332">
        <f>7/12</f>
        <v>0.58333333333333337</v>
      </c>
      <c r="L776" s="215">
        <f>J776</f>
        <v>52.04436824605154</v>
      </c>
      <c r="M776" s="149"/>
    </row>
    <row r="777" spans="1:13" ht="15.75" thickBot="1">
      <c r="A777" s="35" t="s">
        <v>24</v>
      </c>
      <c r="B777" s="36" t="s">
        <v>25</v>
      </c>
      <c r="C777" s="37"/>
      <c r="D777" s="30">
        <f>D794+D804+D807+D811+D814+D817+D823+D826+D830+D833+D837+D840+D843+D846+D850+D853+D856+D861+D865+D868+D873+D876+D879+D882</f>
        <v>994212000</v>
      </c>
      <c r="E777" s="30">
        <v>0</v>
      </c>
      <c r="F777" s="30">
        <v>0</v>
      </c>
      <c r="G777" s="30">
        <f>G794+G804+G833+G837+G853+G856+G843+G846+G850+G865+G817+G830+G861+G814+G811+G840</f>
        <v>570467649</v>
      </c>
      <c r="H777" s="215">
        <f>G777/D777*100</f>
        <v>57.378873821679889</v>
      </c>
      <c r="I777" s="296">
        <f>G777</f>
        <v>570467649</v>
      </c>
      <c r="J777" s="217">
        <f>I777/D777*100</f>
        <v>57.378873821679889</v>
      </c>
      <c r="K777" s="332">
        <f>7/12</f>
        <v>0.58333333333333337</v>
      </c>
      <c r="L777" s="215">
        <f>J777</f>
        <v>57.378873821679889</v>
      </c>
      <c r="M777" s="30"/>
    </row>
    <row r="778" spans="1:13">
      <c r="A778" s="41" t="s">
        <v>26</v>
      </c>
      <c r="B778" s="42" t="s">
        <v>27</v>
      </c>
      <c r="C778" s="43"/>
      <c r="D778" s="32"/>
      <c r="E778" s="115"/>
      <c r="F778" s="32"/>
      <c r="G778" s="150"/>
      <c r="H778" s="151"/>
      <c r="I778" s="191"/>
      <c r="J778" s="150"/>
      <c r="K778" s="32"/>
      <c r="L778" s="32"/>
      <c r="M778" s="32"/>
    </row>
    <row r="779" spans="1:13">
      <c r="A779" s="44"/>
      <c r="B779" s="45" t="s">
        <v>26</v>
      </c>
      <c r="C779" s="46" t="s">
        <v>28</v>
      </c>
      <c r="D779" s="525">
        <v>6000000</v>
      </c>
      <c r="E779" s="116">
        <v>0</v>
      </c>
      <c r="F779" s="131">
        <v>0</v>
      </c>
      <c r="G779" s="192">
        <f>999000+501000+250000+250000+250000</f>
        <v>2250000</v>
      </c>
      <c r="H779" s="299">
        <f>G779/D779*100</f>
        <v>37.5</v>
      </c>
      <c r="I779" s="192">
        <f>G779</f>
        <v>2250000</v>
      </c>
      <c r="J779" s="301">
        <f>H779</f>
        <v>37.5</v>
      </c>
      <c r="K779" s="331">
        <f>7/12</f>
        <v>0.58333333333333337</v>
      </c>
      <c r="L779" s="311">
        <f>J779</f>
        <v>37.5</v>
      </c>
      <c r="M779" s="131"/>
    </row>
    <row r="780" spans="1:13">
      <c r="A780" s="44"/>
      <c r="B780" s="47" t="s">
        <v>29</v>
      </c>
      <c r="C780" s="48" t="s">
        <v>30</v>
      </c>
      <c r="D780" s="34">
        <v>8000000</v>
      </c>
      <c r="E780" s="297">
        <v>0</v>
      </c>
      <c r="F780" s="132">
        <v>0</v>
      </c>
      <c r="G780" s="192">
        <v>1528715</v>
      </c>
      <c r="H780" s="299">
        <f t="shared" ref="H780:H793" si="281">G780/D780*100</f>
        <v>19.1089375</v>
      </c>
      <c r="I780" s="192">
        <f>G780</f>
        <v>1528715</v>
      </c>
      <c r="J780" s="301">
        <f>I780/D780*100</f>
        <v>19.1089375</v>
      </c>
      <c r="K780" s="331">
        <f t="shared" ref="K780:K792" si="282">7/12</f>
        <v>0.58333333333333337</v>
      </c>
      <c r="L780" s="311">
        <f t="shared" ref="L780:L793" si="283">J780</f>
        <v>19.1089375</v>
      </c>
      <c r="M780" s="132"/>
    </row>
    <row r="781" spans="1:13">
      <c r="A781" s="44"/>
      <c r="B781" s="47" t="s">
        <v>29</v>
      </c>
      <c r="C781" s="48" t="s">
        <v>31</v>
      </c>
      <c r="D781" s="34">
        <v>5000000</v>
      </c>
      <c r="E781" s="297">
        <v>0</v>
      </c>
      <c r="F781" s="132">
        <v>0</v>
      </c>
      <c r="G781" s="192">
        <v>1870150</v>
      </c>
      <c r="H781" s="299">
        <f t="shared" si="281"/>
        <v>37.402999999999999</v>
      </c>
      <c r="I781" s="192">
        <f t="shared" ref="I781:I782" si="284">G781</f>
        <v>1870150</v>
      </c>
      <c r="J781" s="301">
        <f t="shared" ref="J781:J790" si="285">I781/D781*100</f>
        <v>37.402999999999999</v>
      </c>
      <c r="K781" s="331">
        <f t="shared" si="282"/>
        <v>0.58333333333333337</v>
      </c>
      <c r="L781" s="311">
        <f t="shared" si="283"/>
        <v>37.402999999999999</v>
      </c>
      <c r="M781" s="132"/>
    </row>
    <row r="782" spans="1:13">
      <c r="A782" s="44"/>
      <c r="B782" s="47" t="s">
        <v>29</v>
      </c>
      <c r="C782" s="48" t="s">
        <v>32</v>
      </c>
      <c r="D782" s="34">
        <v>12000000</v>
      </c>
      <c r="E782" s="297">
        <v>0</v>
      </c>
      <c r="F782" s="132">
        <v>0</v>
      </c>
      <c r="G782" s="192">
        <v>3787684</v>
      </c>
      <c r="H782" s="299">
        <f>G782/D782*100</f>
        <v>31.564033333333334</v>
      </c>
      <c r="I782" s="192">
        <f t="shared" si="284"/>
        <v>3787684</v>
      </c>
      <c r="J782" s="301">
        <f t="shared" si="285"/>
        <v>31.564033333333334</v>
      </c>
      <c r="K782" s="331">
        <f t="shared" si="282"/>
        <v>0.58333333333333337</v>
      </c>
      <c r="L782" s="311">
        <f t="shared" si="283"/>
        <v>31.564033333333334</v>
      </c>
      <c r="M782" s="132"/>
    </row>
    <row r="783" spans="1:13">
      <c r="A783" s="44"/>
      <c r="B783" s="47" t="s">
        <v>33</v>
      </c>
      <c r="C783" s="48" t="s">
        <v>34</v>
      </c>
      <c r="D783" s="34">
        <v>12105000</v>
      </c>
      <c r="E783" s="117">
        <v>0</v>
      </c>
      <c r="F783" s="132">
        <v>0</v>
      </c>
      <c r="G783" s="192">
        <v>6000000</v>
      </c>
      <c r="H783" s="299">
        <f t="shared" si="281"/>
        <v>49.566294919454776</v>
      </c>
      <c r="I783" s="192">
        <f>G783</f>
        <v>6000000</v>
      </c>
      <c r="J783" s="301">
        <f t="shared" si="285"/>
        <v>49.566294919454776</v>
      </c>
      <c r="K783" s="331">
        <f t="shared" si="282"/>
        <v>0.58333333333333337</v>
      </c>
      <c r="L783" s="311">
        <f t="shared" si="283"/>
        <v>49.566294919454776</v>
      </c>
      <c r="M783" s="132"/>
    </row>
    <row r="784" spans="1:13">
      <c r="A784" s="44"/>
      <c r="B784" s="47">
        <v>10</v>
      </c>
      <c r="C784" s="48" t="s">
        <v>35</v>
      </c>
      <c r="D784" s="34">
        <v>11895000</v>
      </c>
      <c r="E784" s="117">
        <v>0</v>
      </c>
      <c r="F784" s="132">
        <v>0</v>
      </c>
      <c r="G784" s="192">
        <f>1500000+1000000+1000000+2250000</f>
        <v>5750000</v>
      </c>
      <c r="H784" s="299">
        <f t="shared" si="281"/>
        <v>48.339638503572928</v>
      </c>
      <c r="I784" s="192">
        <f t="shared" ref="I784:I787" si="286">G784</f>
        <v>5750000</v>
      </c>
      <c r="J784" s="301">
        <f t="shared" si="285"/>
        <v>48.339638503572928</v>
      </c>
      <c r="K784" s="331">
        <f t="shared" si="282"/>
        <v>0.58333333333333337</v>
      </c>
      <c r="L784" s="311">
        <f t="shared" si="283"/>
        <v>48.339638503572928</v>
      </c>
      <c r="M784" s="132"/>
    </row>
    <row r="785" spans="1:14">
      <c r="A785" s="44"/>
      <c r="B785" s="47">
        <v>11</v>
      </c>
      <c r="C785" s="48" t="s">
        <v>36</v>
      </c>
      <c r="D785" s="34">
        <v>6000000</v>
      </c>
      <c r="E785" s="117">
        <v>0</v>
      </c>
      <c r="F785" s="132">
        <v>0</v>
      </c>
      <c r="G785" s="192">
        <f>1000000+500000+750000+1700000</f>
        <v>3950000</v>
      </c>
      <c r="H785" s="299">
        <f t="shared" si="281"/>
        <v>65.833333333333329</v>
      </c>
      <c r="I785" s="192">
        <f t="shared" si="286"/>
        <v>3950000</v>
      </c>
      <c r="J785" s="301">
        <f t="shared" si="285"/>
        <v>65.833333333333329</v>
      </c>
      <c r="K785" s="331">
        <f t="shared" si="282"/>
        <v>0.58333333333333337</v>
      </c>
      <c r="L785" s="311">
        <f t="shared" si="283"/>
        <v>65.833333333333329</v>
      </c>
      <c r="M785" s="132"/>
    </row>
    <row r="786" spans="1:14">
      <c r="A786" s="44"/>
      <c r="B786" s="47">
        <v>11</v>
      </c>
      <c r="C786" s="48" t="s">
        <v>37</v>
      </c>
      <c r="D786" s="34">
        <v>18000000</v>
      </c>
      <c r="E786" s="117">
        <v>0</v>
      </c>
      <c r="F786" s="132">
        <v>0</v>
      </c>
      <c r="G786" s="192">
        <f>2525600+17850+34600+34000+2524800</f>
        <v>5136850</v>
      </c>
      <c r="H786" s="299">
        <f t="shared" si="281"/>
        <v>28.538055555555559</v>
      </c>
      <c r="I786" s="192">
        <f t="shared" si="286"/>
        <v>5136850</v>
      </c>
      <c r="J786" s="301">
        <f t="shared" si="285"/>
        <v>28.538055555555559</v>
      </c>
      <c r="K786" s="331">
        <f t="shared" si="282"/>
        <v>0.58333333333333337</v>
      </c>
      <c r="L786" s="311">
        <f t="shared" si="283"/>
        <v>28.538055555555559</v>
      </c>
      <c r="M786" s="132"/>
    </row>
    <row r="787" spans="1:14">
      <c r="A787" s="44"/>
      <c r="B787" s="47">
        <v>12</v>
      </c>
      <c r="C787" s="48" t="s">
        <v>38</v>
      </c>
      <c r="D787" s="34">
        <v>5000000</v>
      </c>
      <c r="E787" s="117">
        <v>0</v>
      </c>
      <c r="F787" s="132">
        <v>0</v>
      </c>
      <c r="G787" s="192">
        <v>2500000</v>
      </c>
      <c r="H787" s="299">
        <f t="shared" si="281"/>
        <v>50</v>
      </c>
      <c r="I787" s="192">
        <f t="shared" si="286"/>
        <v>2500000</v>
      </c>
      <c r="J787" s="301">
        <f t="shared" si="285"/>
        <v>50</v>
      </c>
      <c r="K787" s="331">
        <f t="shared" si="282"/>
        <v>0.58333333333333337</v>
      </c>
      <c r="L787" s="311">
        <f t="shared" si="283"/>
        <v>50</v>
      </c>
      <c r="M787" s="132"/>
    </row>
    <row r="788" spans="1:14">
      <c r="A788" s="44"/>
      <c r="B788" s="47">
        <v>13</v>
      </c>
      <c r="C788" s="48" t="s">
        <v>39</v>
      </c>
      <c r="D788" s="34">
        <v>5000000</v>
      </c>
      <c r="E788" s="117">
        <v>0</v>
      </c>
      <c r="F788" s="132">
        <v>0</v>
      </c>
      <c r="G788" s="192">
        <f>1000000+250000+500000+745000</f>
        <v>2495000</v>
      </c>
      <c r="H788" s="299">
        <f t="shared" si="281"/>
        <v>49.9</v>
      </c>
      <c r="I788" s="192">
        <f>G788</f>
        <v>2495000</v>
      </c>
      <c r="J788" s="301">
        <f t="shared" si="285"/>
        <v>49.9</v>
      </c>
      <c r="K788" s="331">
        <f t="shared" si="282"/>
        <v>0.58333333333333337</v>
      </c>
      <c r="L788" s="311">
        <f t="shared" si="283"/>
        <v>49.9</v>
      </c>
      <c r="M788" s="132"/>
    </row>
    <row r="789" spans="1:14">
      <c r="A789" s="44"/>
      <c r="B789" s="47">
        <v>15</v>
      </c>
      <c r="C789" s="48" t="s">
        <v>40</v>
      </c>
      <c r="D789" s="34">
        <v>3000000</v>
      </c>
      <c r="E789" s="117">
        <v>0</v>
      </c>
      <c r="F789" s="132">
        <v>0</v>
      </c>
      <c r="G789" s="192">
        <f>260000+140000+260000+140000</f>
        <v>800000</v>
      </c>
      <c r="H789" s="299">
        <f t="shared" si="281"/>
        <v>26.666666666666668</v>
      </c>
      <c r="I789" s="192">
        <f t="shared" ref="I789:I790" si="287">G789</f>
        <v>800000</v>
      </c>
      <c r="J789" s="301">
        <f t="shared" si="285"/>
        <v>26.666666666666668</v>
      </c>
      <c r="K789" s="331">
        <f t="shared" si="282"/>
        <v>0.58333333333333337</v>
      </c>
      <c r="L789" s="311">
        <f t="shared" si="283"/>
        <v>26.666666666666668</v>
      </c>
      <c r="M789" s="132"/>
    </row>
    <row r="790" spans="1:14">
      <c r="A790" s="44"/>
      <c r="B790" s="47">
        <v>17</v>
      </c>
      <c r="C790" s="48" t="s">
        <v>41</v>
      </c>
      <c r="D790" s="34">
        <v>5000000</v>
      </c>
      <c r="E790" s="117">
        <v>0</v>
      </c>
      <c r="F790" s="132">
        <v>0</v>
      </c>
      <c r="G790" s="192">
        <f>1000000+250000+750000</f>
        <v>2000000</v>
      </c>
      <c r="H790" s="299">
        <f t="shared" si="281"/>
        <v>40</v>
      </c>
      <c r="I790" s="192">
        <f t="shared" si="287"/>
        <v>2000000</v>
      </c>
      <c r="J790" s="301">
        <f t="shared" si="285"/>
        <v>40</v>
      </c>
      <c r="K790" s="331">
        <f t="shared" si="282"/>
        <v>0.58333333333333337</v>
      </c>
      <c r="L790" s="311">
        <f t="shared" si="283"/>
        <v>40</v>
      </c>
      <c r="M790" s="132"/>
    </row>
    <row r="791" spans="1:14">
      <c r="A791" s="44"/>
      <c r="B791" s="47">
        <v>17</v>
      </c>
      <c r="C791" s="48" t="s">
        <v>42</v>
      </c>
      <c r="D791" s="34">
        <v>7000000</v>
      </c>
      <c r="E791" s="117">
        <v>0</v>
      </c>
      <c r="F791" s="132">
        <v>0</v>
      </c>
      <c r="G791" s="192">
        <f>1200000+400000+1800000</f>
        <v>3400000</v>
      </c>
      <c r="H791" s="299">
        <f t="shared" si="281"/>
        <v>48.571428571428569</v>
      </c>
      <c r="I791" s="192">
        <f>G791</f>
        <v>3400000</v>
      </c>
      <c r="J791" s="301">
        <f>I791/D791*100</f>
        <v>48.571428571428569</v>
      </c>
      <c r="K791" s="331">
        <f t="shared" si="282"/>
        <v>0.58333333333333337</v>
      </c>
      <c r="L791" s="311">
        <f t="shared" si="283"/>
        <v>48.571428571428569</v>
      </c>
      <c r="M791" s="132"/>
      <c r="N791" s="161">
        <f>D791-G791</f>
        <v>3600000</v>
      </c>
    </row>
    <row r="792" spans="1:14">
      <c r="A792" s="44"/>
      <c r="B792" s="47">
        <v>18</v>
      </c>
      <c r="C792" s="48" t="s">
        <v>43</v>
      </c>
      <c r="D792" s="34">
        <v>15000000</v>
      </c>
      <c r="E792" s="117">
        <v>0</v>
      </c>
      <c r="F792" s="132">
        <v>0</v>
      </c>
      <c r="G792" s="192">
        <f>1450000+375000+1525000+2900000+200000</f>
        <v>6450000</v>
      </c>
      <c r="H792" s="299">
        <f t="shared" si="281"/>
        <v>43</v>
      </c>
      <c r="I792" s="192">
        <f>G792</f>
        <v>6450000</v>
      </c>
      <c r="J792" s="301">
        <f t="shared" ref="J792:J793" si="288">I792/D792*100</f>
        <v>43</v>
      </c>
      <c r="K792" s="331">
        <f t="shared" si="282"/>
        <v>0.58333333333333337</v>
      </c>
      <c r="L792" s="311">
        <f t="shared" si="283"/>
        <v>43</v>
      </c>
      <c r="M792" s="132"/>
      <c r="N792" s="161">
        <f>D792-G792</f>
        <v>8550000</v>
      </c>
    </row>
    <row r="793" spans="1:14" ht="15.75" thickBot="1">
      <c r="A793" s="44"/>
      <c r="B793" s="49">
        <v>19</v>
      </c>
      <c r="C793" s="50" t="s">
        <v>44</v>
      </c>
      <c r="D793" s="51">
        <v>51212000</v>
      </c>
      <c r="E793" s="298"/>
      <c r="F793" s="133">
        <v>0</v>
      </c>
      <c r="G793" s="192">
        <v>28605000</v>
      </c>
      <c r="H793" s="300">
        <f t="shared" si="281"/>
        <v>55.856049363430451</v>
      </c>
      <c r="I793" s="192">
        <f t="shared" ref="I793" si="289">G793</f>
        <v>28605000</v>
      </c>
      <c r="J793" s="301">
        <f t="shared" si="288"/>
        <v>55.856049363430451</v>
      </c>
      <c r="K793" s="331">
        <f>7/12</f>
        <v>0.58333333333333337</v>
      </c>
      <c r="L793" s="311">
        <f t="shared" si="283"/>
        <v>55.856049363430451</v>
      </c>
      <c r="M793" s="133"/>
    </row>
    <row r="794" spans="1:14" ht="15.75" thickBot="1">
      <c r="A794" s="35"/>
      <c r="B794" s="52"/>
      <c r="C794" s="37" t="s">
        <v>45</v>
      </c>
      <c r="D794" s="53">
        <f>SUM(D779:D793)</f>
        <v>170212000</v>
      </c>
      <c r="E794" s="53">
        <f>SUM(E779:E793)</f>
        <v>0</v>
      </c>
      <c r="F794" s="53">
        <f t="shared" ref="F794" si="290">SUM(F779:F793)</f>
        <v>0</v>
      </c>
      <c r="G794" s="53">
        <f>SUM(G779:G793)</f>
        <v>76523399</v>
      </c>
      <c r="H794" s="214">
        <f>G794/D794*100</f>
        <v>44.957699222146502</v>
      </c>
      <c r="I794" s="194">
        <f t="shared" ref="I794" si="291">SUM(I779:I793)</f>
        <v>76523399</v>
      </c>
      <c r="J794" s="214">
        <f>I794/D794*100</f>
        <v>44.957699222146502</v>
      </c>
      <c r="K794" s="332">
        <f>7/12</f>
        <v>0.58333333333333337</v>
      </c>
      <c r="L794" s="214">
        <f>J794</f>
        <v>44.957699222146502</v>
      </c>
      <c r="M794" s="53"/>
    </row>
    <row r="795" spans="1:14">
      <c r="A795" s="54" t="s">
        <v>29</v>
      </c>
      <c r="B795" s="55" t="s">
        <v>90</v>
      </c>
      <c r="C795" s="56"/>
      <c r="D795" s="57"/>
      <c r="E795" s="119"/>
      <c r="F795" s="131"/>
      <c r="G795" s="152"/>
      <c r="H795" s="152"/>
      <c r="I795" s="119"/>
      <c r="J795" s="152"/>
      <c r="K795" s="152"/>
      <c r="L795" s="152"/>
      <c r="M795" s="131"/>
    </row>
    <row r="796" spans="1:14">
      <c r="A796" s="279"/>
      <c r="B796" s="47" t="s">
        <v>53</v>
      </c>
      <c r="C796" s="46" t="s">
        <v>216</v>
      </c>
      <c r="D796" s="80">
        <v>40000000</v>
      </c>
      <c r="E796" s="119"/>
      <c r="F796" s="131"/>
      <c r="G796" s="152">
        <v>40000000</v>
      </c>
      <c r="H796" s="299">
        <f t="shared" ref="H796:H802" si="292">G796/D796*100</f>
        <v>100</v>
      </c>
      <c r="I796" s="119">
        <f>G796</f>
        <v>40000000</v>
      </c>
      <c r="J796" s="301">
        <f t="shared" ref="J796:J800" si="293">I796/D796*100</f>
        <v>100</v>
      </c>
      <c r="K796" s="331">
        <f>7/12</f>
        <v>0.58333333333333337</v>
      </c>
      <c r="L796" s="311">
        <f t="shared" ref="L796" si="294">J796</f>
        <v>100</v>
      </c>
      <c r="M796" s="131"/>
      <c r="N796" s="161">
        <v>2</v>
      </c>
    </row>
    <row r="797" spans="1:14">
      <c r="A797" s="44"/>
      <c r="B797" s="47" t="s">
        <v>46</v>
      </c>
      <c r="C797" s="58" t="s">
        <v>110</v>
      </c>
      <c r="D797" s="59">
        <v>20000000</v>
      </c>
      <c r="E797" s="120">
        <v>0</v>
      </c>
      <c r="F797" s="132">
        <v>0</v>
      </c>
      <c r="G797" s="119">
        <v>14475000</v>
      </c>
      <c r="H797" s="299">
        <f t="shared" si="292"/>
        <v>72.375</v>
      </c>
      <c r="I797" s="119">
        <f>G797</f>
        <v>14475000</v>
      </c>
      <c r="J797" s="301">
        <f t="shared" si="293"/>
        <v>72.375</v>
      </c>
      <c r="K797" s="331">
        <f t="shared" ref="K797:K802" si="295">7/12</f>
        <v>0.58333333333333337</v>
      </c>
      <c r="L797" s="311">
        <f>J797</f>
        <v>72.375</v>
      </c>
      <c r="M797" s="132"/>
      <c r="N797" s="161">
        <v>4</v>
      </c>
    </row>
    <row r="798" spans="1:14">
      <c r="A798" s="44"/>
      <c r="B798" s="47">
        <v>21</v>
      </c>
      <c r="C798" s="48" t="s">
        <v>47</v>
      </c>
      <c r="D798" s="59">
        <v>30000000</v>
      </c>
      <c r="E798" s="120">
        <v>0</v>
      </c>
      <c r="F798" s="132">
        <v>0</v>
      </c>
      <c r="G798" s="206">
        <v>30000000</v>
      </c>
      <c r="H798" s="299">
        <f t="shared" si="292"/>
        <v>100</v>
      </c>
      <c r="I798" s="119">
        <f t="shared" ref="I798:I799" si="296">G798</f>
        <v>30000000</v>
      </c>
      <c r="J798" s="301">
        <f t="shared" si="293"/>
        <v>100</v>
      </c>
      <c r="K798" s="331">
        <f t="shared" si="295"/>
        <v>0.58333333333333337</v>
      </c>
      <c r="L798" s="311">
        <f>J798</f>
        <v>100</v>
      </c>
      <c r="M798" s="132"/>
    </row>
    <row r="799" spans="1:14">
      <c r="A799" s="44"/>
      <c r="B799" s="47">
        <v>22</v>
      </c>
      <c r="C799" s="48" t="s">
        <v>48</v>
      </c>
      <c r="D799" s="60">
        <v>30000000</v>
      </c>
      <c r="E799" s="120">
        <v>0</v>
      </c>
      <c r="F799" s="132">
        <v>0</v>
      </c>
      <c r="G799" s="206">
        <v>30000000</v>
      </c>
      <c r="H799" s="299">
        <f t="shared" si="292"/>
        <v>100</v>
      </c>
      <c r="I799" s="119">
        <f t="shared" si="296"/>
        <v>30000000</v>
      </c>
      <c r="J799" s="301">
        <f t="shared" si="293"/>
        <v>100</v>
      </c>
      <c r="K799" s="331">
        <f t="shared" si="295"/>
        <v>0.58333333333333337</v>
      </c>
      <c r="L799" s="311">
        <f t="shared" ref="L799" si="297">J799</f>
        <v>100</v>
      </c>
      <c r="M799" s="154"/>
    </row>
    <row r="800" spans="1:14">
      <c r="A800" s="44"/>
      <c r="B800" s="47">
        <v>24</v>
      </c>
      <c r="C800" s="48" t="s">
        <v>49</v>
      </c>
      <c r="D800" s="60">
        <v>35000000</v>
      </c>
      <c r="E800" s="120">
        <v>0</v>
      </c>
      <c r="F800" s="132">
        <v>0</v>
      </c>
      <c r="G800" s="206">
        <f>6051250+1700000+2418000+4557000</f>
        <v>14726250</v>
      </c>
      <c r="H800" s="299">
        <f t="shared" si="292"/>
        <v>42.075000000000003</v>
      </c>
      <c r="I800" s="192">
        <f>G800</f>
        <v>14726250</v>
      </c>
      <c r="J800" s="301">
        <f t="shared" si="293"/>
        <v>42.075000000000003</v>
      </c>
      <c r="K800" s="331">
        <f t="shared" si="295"/>
        <v>0.58333333333333337</v>
      </c>
      <c r="L800" s="311">
        <f>J800</f>
        <v>42.075000000000003</v>
      </c>
      <c r="M800" s="132"/>
    </row>
    <row r="801" spans="1:14">
      <c r="A801" s="44"/>
      <c r="B801" s="47">
        <v>26</v>
      </c>
      <c r="C801" s="48" t="s">
        <v>50</v>
      </c>
      <c r="D801" s="60">
        <v>4000000</v>
      </c>
      <c r="E801" s="120">
        <v>0</v>
      </c>
      <c r="F801" s="132">
        <v>0</v>
      </c>
      <c r="G801" s="206">
        <v>2000000</v>
      </c>
      <c r="H801" s="299">
        <f>G801/D801*100</f>
        <v>50</v>
      </c>
      <c r="I801" s="192">
        <f>G801</f>
        <v>2000000</v>
      </c>
      <c r="J801" s="301">
        <f>I801/D801*100</f>
        <v>50</v>
      </c>
      <c r="K801" s="331">
        <f t="shared" si="295"/>
        <v>0.58333333333333337</v>
      </c>
      <c r="L801" s="311">
        <f t="shared" ref="L801:L803" si="298">J801</f>
        <v>50</v>
      </c>
      <c r="M801" s="132"/>
    </row>
    <row r="802" spans="1:14">
      <c r="A802" s="44"/>
      <c r="B802" s="47">
        <v>28</v>
      </c>
      <c r="C802" s="48" t="s">
        <v>51</v>
      </c>
      <c r="D802" s="60">
        <v>12000000</v>
      </c>
      <c r="E802" s="120">
        <v>0</v>
      </c>
      <c r="F802" s="132">
        <v>0</v>
      </c>
      <c r="G802" s="206">
        <f>300000+300000+2250000+1000000+400000+1250000+500000</f>
        <v>6000000</v>
      </c>
      <c r="H802" s="299">
        <f t="shared" si="292"/>
        <v>50</v>
      </c>
      <c r="I802" s="192">
        <f>G802</f>
        <v>6000000</v>
      </c>
      <c r="J802" s="301">
        <f>I802/D802*100</f>
        <v>50</v>
      </c>
      <c r="K802" s="331">
        <f t="shared" si="295"/>
        <v>0.58333333333333337</v>
      </c>
      <c r="L802" s="311">
        <f t="shared" si="298"/>
        <v>50</v>
      </c>
      <c r="M802" s="132"/>
    </row>
    <row r="803" spans="1:14">
      <c r="A803" s="44"/>
      <c r="B803" s="61">
        <v>29</v>
      </c>
      <c r="C803" s="50" t="s">
        <v>52</v>
      </c>
      <c r="D803" s="62">
        <v>2000000</v>
      </c>
      <c r="E803" s="121">
        <v>0</v>
      </c>
      <c r="F803" s="133">
        <v>0</v>
      </c>
      <c r="G803" s="197">
        <f>200000+100000+390000</f>
        <v>690000</v>
      </c>
      <c r="H803" s="312">
        <f>G803/D803*100</f>
        <v>34.5</v>
      </c>
      <c r="I803" s="313">
        <f t="shared" ref="I803" si="299">G803</f>
        <v>690000</v>
      </c>
      <c r="J803" s="314">
        <f t="shared" ref="J803" si="300">I803/D803*100</f>
        <v>34.5</v>
      </c>
      <c r="K803" s="331">
        <f>7/12</f>
        <v>0.58333333333333337</v>
      </c>
      <c r="L803" s="311">
        <f t="shared" si="298"/>
        <v>34.5</v>
      </c>
      <c r="M803" s="133"/>
    </row>
    <row r="804" spans="1:14">
      <c r="A804" s="63"/>
      <c r="B804" s="64"/>
      <c r="C804" s="65" t="s">
        <v>45</v>
      </c>
      <c r="D804" s="66">
        <f>SUM(D796:D803)</f>
        <v>173000000</v>
      </c>
      <c r="E804" s="122"/>
      <c r="F804" s="66"/>
      <c r="G804" s="285">
        <f>SUM(G796:G803)</f>
        <v>137891250</v>
      </c>
      <c r="H804" s="323">
        <f>G804/D804*100</f>
        <v>79.705924855491332</v>
      </c>
      <c r="I804" s="286">
        <f>SUM(I796:I803)</f>
        <v>137891250</v>
      </c>
      <c r="J804" s="323">
        <f>I804/D804*100</f>
        <v>79.705924855491332</v>
      </c>
      <c r="K804" s="333">
        <f>7/12</f>
        <v>0.58333333333333337</v>
      </c>
      <c r="L804" s="302">
        <f>J804</f>
        <v>79.705924855491332</v>
      </c>
      <c r="M804" s="66"/>
    </row>
    <row r="805" spans="1:14">
      <c r="A805" s="67" t="s">
        <v>53</v>
      </c>
      <c r="B805" s="68" t="s">
        <v>54</v>
      </c>
      <c r="C805" s="69"/>
      <c r="D805" s="70"/>
      <c r="E805" s="123"/>
      <c r="F805" s="134"/>
      <c r="G805" s="164"/>
      <c r="H805" s="148"/>
      <c r="I805" s="164"/>
      <c r="J805" s="152"/>
      <c r="K805" s="152"/>
      <c r="L805" s="156"/>
      <c r="M805" s="134"/>
    </row>
    <row r="806" spans="1:14">
      <c r="A806" s="44"/>
      <c r="B806" s="47" t="s">
        <v>26</v>
      </c>
      <c r="C806" s="48" t="s">
        <v>55</v>
      </c>
      <c r="D806" s="60">
        <v>25000000</v>
      </c>
      <c r="E806" s="120">
        <v>0</v>
      </c>
      <c r="F806" s="208">
        <v>0</v>
      </c>
      <c r="G806" s="197" t="s">
        <v>132</v>
      </c>
      <c r="H806" s="59" t="s">
        <v>132</v>
      </c>
      <c r="I806" s="197" t="s">
        <v>132</v>
      </c>
      <c r="J806" s="59" t="s">
        <v>132</v>
      </c>
      <c r="K806" s="59">
        <v>0</v>
      </c>
      <c r="L806" s="59">
        <v>0</v>
      </c>
      <c r="M806" s="132"/>
    </row>
    <row r="807" spans="1:14">
      <c r="A807" s="63"/>
      <c r="B807" s="71"/>
      <c r="C807" s="65" t="s">
        <v>45</v>
      </c>
      <c r="D807" s="66">
        <f>SUM(D806:D806)</f>
        <v>25000000</v>
      </c>
      <c r="E807" s="122">
        <f>SUM(E806:E806)</f>
        <v>0</v>
      </c>
      <c r="F807" s="202">
        <f>SUM(F806:F806)</f>
        <v>0</v>
      </c>
      <c r="G807" s="122" t="s">
        <v>132</v>
      </c>
      <c r="H807" s="66" t="s">
        <v>132</v>
      </c>
      <c r="I807" s="122" t="s">
        <v>132</v>
      </c>
      <c r="J807" s="155" t="s">
        <v>132</v>
      </c>
      <c r="K807" s="66">
        <f>SUM(K806:K806)</f>
        <v>0</v>
      </c>
      <c r="L807" s="66">
        <f>SUM(L806:L806)</f>
        <v>0</v>
      </c>
      <c r="M807" s="66"/>
    </row>
    <row r="808" spans="1:14">
      <c r="A808" s="44">
        <v>15</v>
      </c>
      <c r="B808" s="72" t="s">
        <v>61</v>
      </c>
      <c r="C808" s="73"/>
      <c r="D808" s="57"/>
      <c r="E808" s="119"/>
      <c r="F808" s="209"/>
      <c r="G808" s="119" t="s">
        <v>132</v>
      </c>
      <c r="H808" s="152" t="s">
        <v>132</v>
      </c>
      <c r="I808" s="119" t="s">
        <v>132</v>
      </c>
      <c r="J808" s="152" t="s">
        <v>132</v>
      </c>
      <c r="K808" s="152"/>
      <c r="L808" s="152"/>
      <c r="M808" s="131"/>
    </row>
    <row r="809" spans="1:14">
      <c r="A809" s="44"/>
      <c r="B809" s="47">
        <v>18</v>
      </c>
      <c r="C809" s="48" t="s">
        <v>62</v>
      </c>
      <c r="D809" s="60">
        <v>5000000</v>
      </c>
      <c r="E809" s="120">
        <v>0</v>
      </c>
      <c r="F809" s="208">
        <v>0</v>
      </c>
      <c r="G809" s="120">
        <v>5000000</v>
      </c>
      <c r="H809" s="299">
        <f t="shared" ref="H809:H810" si="301">G809/D809*100</f>
        <v>100</v>
      </c>
      <c r="I809" s="120">
        <f>G809</f>
        <v>5000000</v>
      </c>
      <c r="J809" s="301">
        <f>I809/D809*100</f>
        <v>100</v>
      </c>
      <c r="K809" s="331">
        <f>7/12</f>
        <v>0.58333333333333337</v>
      </c>
      <c r="L809" s="301">
        <f>J809</f>
        <v>100</v>
      </c>
      <c r="M809" s="132"/>
    </row>
    <row r="810" spans="1:14" ht="25.5">
      <c r="A810" s="44"/>
      <c r="B810" s="49">
        <v>63</v>
      </c>
      <c r="C810" s="244" t="s">
        <v>63</v>
      </c>
      <c r="D810" s="62">
        <v>5000000</v>
      </c>
      <c r="E810" s="121">
        <v>0</v>
      </c>
      <c r="F810" s="210">
        <v>0</v>
      </c>
      <c r="G810" s="121">
        <v>5000000</v>
      </c>
      <c r="H810" s="300">
        <f t="shared" si="301"/>
        <v>100</v>
      </c>
      <c r="I810" s="120">
        <f>G810</f>
        <v>5000000</v>
      </c>
      <c r="J810" s="314">
        <f>I810/D810*100</f>
        <v>100</v>
      </c>
      <c r="K810" s="331">
        <f>7/12</f>
        <v>0.58333333333333337</v>
      </c>
      <c r="L810" s="528">
        <f>J810</f>
        <v>100</v>
      </c>
      <c r="M810" s="133"/>
    </row>
    <row r="811" spans="1:14">
      <c r="A811" s="63"/>
      <c r="B811" s="64"/>
      <c r="C811" s="65" t="s">
        <v>45</v>
      </c>
      <c r="D811" s="66">
        <f>SUM(D809:D810)</f>
        <v>10000000</v>
      </c>
      <c r="E811" s="122">
        <f t="shared" ref="E811" si="302">SUM(E809:E810)</f>
        <v>0</v>
      </c>
      <c r="F811" s="202">
        <f>SUM(F809:F810)</f>
        <v>0</v>
      </c>
      <c r="G811" s="195">
        <f>SUM(G809:G810)</f>
        <v>10000000</v>
      </c>
      <c r="H811" s="302">
        <f>G811/D811*100</f>
        <v>100</v>
      </c>
      <c r="I811" s="195">
        <f>SUM(I809:I810)</f>
        <v>10000000</v>
      </c>
      <c r="J811" s="323">
        <f>I811/D811*100</f>
        <v>100</v>
      </c>
      <c r="K811" s="356">
        <f>7/12</f>
        <v>0.58333333333333337</v>
      </c>
      <c r="L811" s="302">
        <f>J811</f>
        <v>100</v>
      </c>
      <c r="M811" s="66"/>
    </row>
    <row r="812" spans="1:14">
      <c r="A812" s="44">
        <v>30</v>
      </c>
      <c r="B812" s="77" t="s">
        <v>64</v>
      </c>
      <c r="C812" s="78"/>
      <c r="D812" s="57"/>
      <c r="E812" s="119"/>
      <c r="F812" s="209"/>
      <c r="G812" s="119"/>
      <c r="H812" s="152"/>
      <c r="I812" s="119"/>
      <c r="J812" s="152"/>
      <c r="K812" s="152"/>
      <c r="L812" s="311"/>
      <c r="M812" s="131"/>
    </row>
    <row r="813" spans="1:14">
      <c r="A813" s="44"/>
      <c r="B813" s="45">
        <v>2</v>
      </c>
      <c r="C813" s="79" t="s">
        <v>102</v>
      </c>
      <c r="D813" s="80">
        <v>200000000</v>
      </c>
      <c r="E813" s="124">
        <v>0</v>
      </c>
      <c r="F813" s="209">
        <v>0</v>
      </c>
      <c r="G813" s="124">
        <v>199258000</v>
      </c>
      <c r="H813" s="312">
        <f t="shared" ref="H813" si="303">G813/D813*100</f>
        <v>99.629000000000005</v>
      </c>
      <c r="I813" s="120">
        <f>G813</f>
        <v>199258000</v>
      </c>
      <c r="J813" s="314">
        <f>I813/D813*100</f>
        <v>99.629000000000005</v>
      </c>
      <c r="K813" s="355">
        <f>7/12</f>
        <v>0.58333333333333337</v>
      </c>
      <c r="L813" s="311">
        <f>J813</f>
        <v>99.629000000000005</v>
      </c>
      <c r="M813" s="131"/>
      <c r="N813" s="161">
        <f>D813-G813</f>
        <v>742000</v>
      </c>
    </row>
    <row r="814" spans="1:14">
      <c r="A814" s="63"/>
      <c r="B814" s="64"/>
      <c r="C814" s="65" t="s">
        <v>45</v>
      </c>
      <c r="D814" s="66">
        <f>SUM(D812:D813)</f>
        <v>200000000</v>
      </c>
      <c r="E814" s="66">
        <f>SUM(E812:E813)</f>
        <v>0</v>
      </c>
      <c r="F814" s="202">
        <f>SUM(F812:F813)</f>
        <v>0</v>
      </c>
      <c r="G814" s="122">
        <f>SUM(G813)</f>
        <v>199258000</v>
      </c>
      <c r="H814" s="323">
        <f>G814/D814*100</f>
        <v>99.629000000000005</v>
      </c>
      <c r="I814" s="122">
        <f>SUM(I813)</f>
        <v>199258000</v>
      </c>
      <c r="J814" s="323">
        <f>I814/D814*100</f>
        <v>99.629000000000005</v>
      </c>
      <c r="K814" s="356">
        <f>7/12</f>
        <v>0.58333333333333337</v>
      </c>
      <c r="L814" s="302">
        <f>J814</f>
        <v>99.629000000000005</v>
      </c>
      <c r="M814" s="66"/>
    </row>
    <row r="815" spans="1:14">
      <c r="A815" s="44">
        <v>21</v>
      </c>
      <c r="B815" s="81" t="s">
        <v>65</v>
      </c>
      <c r="C815" s="82"/>
      <c r="D815" s="57"/>
      <c r="E815" s="119"/>
      <c r="F815" s="209"/>
      <c r="G815" s="119"/>
      <c r="H815" s="152"/>
      <c r="I815" s="119"/>
      <c r="J815" s="152"/>
      <c r="K815" s="152"/>
      <c r="L815" s="311"/>
      <c r="M815" s="131"/>
    </row>
    <row r="816" spans="1:14">
      <c r="A816" s="44"/>
      <c r="B816" s="47" t="s">
        <v>46</v>
      </c>
      <c r="C816" s="48" t="s">
        <v>66</v>
      </c>
      <c r="D816" s="60">
        <v>20000000</v>
      </c>
      <c r="E816" s="125">
        <v>0</v>
      </c>
      <c r="F816" s="211">
        <v>0</v>
      </c>
      <c r="G816" s="199">
        <v>20000000</v>
      </c>
      <c r="H816" s="312">
        <f>G816/D816*100</f>
        <v>100</v>
      </c>
      <c r="I816" s="197">
        <f>G816</f>
        <v>20000000</v>
      </c>
      <c r="J816" s="301">
        <f>H816</f>
        <v>100</v>
      </c>
      <c r="K816" s="349">
        <f>7/12</f>
        <v>0.58333333333333337</v>
      </c>
      <c r="L816" s="301">
        <f>J816</f>
        <v>100</v>
      </c>
      <c r="M816" s="132"/>
    </row>
    <row r="817" spans="1:13">
      <c r="A817" s="63"/>
      <c r="B817" s="83"/>
      <c r="C817" s="65" t="s">
        <v>45</v>
      </c>
      <c r="D817" s="66">
        <f>SUM(D816:D816)</f>
        <v>20000000</v>
      </c>
      <c r="E817" s="66">
        <f t="shared" ref="E817:F817" si="304">SUM(E814:E816)</f>
        <v>0</v>
      </c>
      <c r="F817" s="202">
        <f t="shared" si="304"/>
        <v>0</v>
      </c>
      <c r="G817" s="122">
        <f>SUM(G816)</f>
        <v>20000000</v>
      </c>
      <c r="H817" s="323">
        <f>G817/D817*100</f>
        <v>100</v>
      </c>
      <c r="I817" s="122">
        <f>SUM(I816)</f>
        <v>20000000</v>
      </c>
      <c r="J817" s="302">
        <f>H817</f>
        <v>100</v>
      </c>
      <c r="K817" s="350">
        <f>7/12</f>
        <v>0.58333333333333337</v>
      </c>
      <c r="L817" s="302">
        <f>SUM(L816)</f>
        <v>100</v>
      </c>
      <c r="M817" s="66"/>
    </row>
    <row r="818" spans="1:13">
      <c r="A818" s="84">
        <v>18</v>
      </c>
      <c r="B818" s="826" t="s">
        <v>96</v>
      </c>
      <c r="C818" s="827"/>
      <c r="D818" s="57"/>
      <c r="E818" s="119"/>
      <c r="F818" s="209"/>
      <c r="G818" s="119"/>
      <c r="H818" s="152"/>
      <c r="I818" s="119"/>
      <c r="J818" s="152"/>
      <c r="K818" s="152"/>
      <c r="L818" s="152"/>
      <c r="M818" s="131"/>
    </row>
    <row r="819" spans="1:13">
      <c r="A819" s="84"/>
      <c r="B819" s="830" t="s">
        <v>95</v>
      </c>
      <c r="C819" s="831"/>
      <c r="D819" s="57"/>
      <c r="E819" s="124"/>
      <c r="F819" s="209"/>
      <c r="G819" s="119"/>
      <c r="H819" s="152"/>
      <c r="I819" s="119"/>
      <c r="J819" s="152"/>
      <c r="K819" s="152"/>
      <c r="L819" s="152"/>
      <c r="M819" s="131"/>
    </row>
    <row r="820" spans="1:13">
      <c r="A820" s="44"/>
      <c r="B820" s="47" t="s">
        <v>26</v>
      </c>
      <c r="C820" s="48" t="s">
        <v>67</v>
      </c>
      <c r="D820" s="60">
        <v>20000000</v>
      </c>
      <c r="E820" s="125">
        <v>0</v>
      </c>
      <c r="F820" s="211">
        <v>0</v>
      </c>
      <c r="G820" s="199" t="s">
        <v>132</v>
      </c>
      <c r="H820" s="59" t="s">
        <v>132</v>
      </c>
      <c r="I820" s="119" t="str">
        <f t="shared" ref="I820" si="305">G820</f>
        <v>-</v>
      </c>
      <c r="J820" s="59" t="s">
        <v>132</v>
      </c>
      <c r="K820" s="59">
        <v>0</v>
      </c>
      <c r="L820" s="59">
        <v>0</v>
      </c>
      <c r="M820" s="132"/>
    </row>
    <row r="821" spans="1:13">
      <c r="A821" s="44"/>
      <c r="B821" s="47" t="s">
        <v>29</v>
      </c>
      <c r="C821" s="204" t="s">
        <v>220</v>
      </c>
      <c r="D821" s="179">
        <v>7000000</v>
      </c>
      <c r="E821" s="180">
        <v>0</v>
      </c>
      <c r="F821" s="181">
        <v>0</v>
      </c>
      <c r="G821" s="207" t="s">
        <v>132</v>
      </c>
      <c r="H821" s="148" t="s">
        <v>132</v>
      </c>
      <c r="I821" s="119" t="s">
        <v>132</v>
      </c>
      <c r="J821" s="148" t="s">
        <v>132</v>
      </c>
      <c r="K821" s="59">
        <v>0</v>
      </c>
      <c r="L821" s="148">
        <v>0</v>
      </c>
      <c r="M821" s="165"/>
    </row>
    <row r="822" spans="1:13">
      <c r="A822" s="44"/>
      <c r="B822" s="47"/>
      <c r="C822" s="48" t="s">
        <v>117</v>
      </c>
      <c r="D822" s="60"/>
      <c r="E822" s="125"/>
      <c r="F822" s="135"/>
      <c r="G822" s="199"/>
      <c r="H822" s="59"/>
      <c r="I822" s="197"/>
      <c r="J822" s="59"/>
      <c r="K822" s="59"/>
      <c r="L822" s="59"/>
      <c r="M822" s="132"/>
    </row>
    <row r="823" spans="1:13">
      <c r="A823" s="63"/>
      <c r="B823" s="71"/>
      <c r="C823" s="65" t="s">
        <v>45</v>
      </c>
      <c r="D823" s="66">
        <f>SUM(D820:D822)</f>
        <v>27000000</v>
      </c>
      <c r="E823" s="66">
        <f t="shared" ref="E823" si="306">SUM(E820:E820)</f>
        <v>0</v>
      </c>
      <c r="F823" s="66">
        <f>SUM(F820:F820)</f>
        <v>0</v>
      </c>
      <c r="G823" s="122" t="s">
        <v>132</v>
      </c>
      <c r="H823" s="66" t="s">
        <v>132</v>
      </c>
      <c r="I823" s="122" t="s">
        <v>132</v>
      </c>
      <c r="J823" s="66" t="s">
        <v>132</v>
      </c>
      <c r="K823" s="66">
        <f>SUM(K820:K822)</f>
        <v>0</v>
      </c>
      <c r="L823" s="66">
        <f t="shared" ref="L823" si="307">SUM(L820:L820)</f>
        <v>0</v>
      </c>
      <c r="M823" s="66"/>
    </row>
    <row r="824" spans="1:13">
      <c r="A824" s="84">
        <v>17</v>
      </c>
      <c r="B824" s="826" t="s">
        <v>130</v>
      </c>
      <c r="C824" s="827"/>
      <c r="D824" s="57"/>
      <c r="E824" s="119"/>
      <c r="F824" s="131"/>
      <c r="G824" s="119"/>
      <c r="H824" s="152"/>
      <c r="I824" s="119"/>
      <c r="J824" s="152"/>
      <c r="K824" s="152"/>
      <c r="L824" s="152"/>
      <c r="M824" s="131"/>
    </row>
    <row r="825" spans="1:13">
      <c r="A825" s="44"/>
      <c r="B825" s="47" t="s">
        <v>53</v>
      </c>
      <c r="C825" s="48" t="s">
        <v>131</v>
      </c>
      <c r="D825" s="60">
        <v>24000000</v>
      </c>
      <c r="E825" s="125">
        <v>0</v>
      </c>
      <c r="F825" s="135">
        <v>0</v>
      </c>
      <c r="G825" s="197" t="s">
        <v>132</v>
      </c>
      <c r="H825" s="59" t="s">
        <v>132</v>
      </c>
      <c r="I825" s="197" t="s">
        <v>132</v>
      </c>
      <c r="J825" s="59" t="s">
        <v>132</v>
      </c>
      <c r="K825" s="59">
        <v>0</v>
      </c>
      <c r="L825" s="59">
        <v>0</v>
      </c>
      <c r="M825" s="132"/>
    </row>
    <row r="826" spans="1:13">
      <c r="A826" s="63"/>
      <c r="B826" s="64"/>
      <c r="C826" s="65" t="s">
        <v>45</v>
      </c>
      <c r="D826" s="66">
        <f>SUM(D825:D825)</f>
        <v>24000000</v>
      </c>
      <c r="E826" s="66">
        <f t="shared" ref="E826:F826" si="308">SUM(E824:E825)</f>
        <v>0</v>
      </c>
      <c r="F826" s="66">
        <f t="shared" si="308"/>
        <v>0</v>
      </c>
      <c r="G826" s="122" t="s">
        <v>132</v>
      </c>
      <c r="H826" s="66" t="s">
        <v>132</v>
      </c>
      <c r="I826" s="122" t="s">
        <v>132</v>
      </c>
      <c r="J826" s="66" t="s">
        <v>132</v>
      </c>
      <c r="K826" s="66">
        <f t="shared" ref="K826:L826" si="309">SUM(K824:K825)</f>
        <v>0</v>
      </c>
      <c r="L826" s="66">
        <f t="shared" si="309"/>
        <v>0</v>
      </c>
      <c r="M826" s="66"/>
    </row>
    <row r="827" spans="1:13">
      <c r="A827" s="44">
        <v>15</v>
      </c>
      <c r="B827" s="524" t="s">
        <v>68</v>
      </c>
      <c r="C827" s="86"/>
      <c r="D827" s="57"/>
      <c r="E827" s="119"/>
      <c r="F827" s="131"/>
      <c r="G827" s="119"/>
      <c r="H827" s="152"/>
      <c r="I827" s="119"/>
      <c r="J827" s="152"/>
      <c r="K827" s="152"/>
      <c r="L827" s="152"/>
      <c r="M827" s="131"/>
    </row>
    <row r="828" spans="1:13" ht="26.25">
      <c r="A828" s="44"/>
      <c r="B828" s="49" t="s">
        <v>80</v>
      </c>
      <c r="C828" s="50" t="s">
        <v>118</v>
      </c>
      <c r="D828" s="62">
        <v>10000000</v>
      </c>
      <c r="E828" s="125">
        <v>0</v>
      </c>
      <c r="F828" s="135">
        <v>0</v>
      </c>
      <c r="G828" s="119" t="s">
        <v>132</v>
      </c>
      <c r="H828" s="59" t="s">
        <v>132</v>
      </c>
      <c r="I828" s="119" t="s">
        <v>132</v>
      </c>
      <c r="J828" s="59" t="s">
        <v>132</v>
      </c>
      <c r="K828" s="339">
        <f>7/12</f>
        <v>0.58333333333333337</v>
      </c>
      <c r="L828" s="59">
        <v>0</v>
      </c>
      <c r="M828" s="132"/>
    </row>
    <row r="829" spans="1:13">
      <c r="A829" s="44"/>
      <c r="B829" s="49" t="s">
        <v>69</v>
      </c>
      <c r="C829" s="50" t="s">
        <v>70</v>
      </c>
      <c r="D829" s="62">
        <v>60000000</v>
      </c>
      <c r="E829" s="125">
        <v>0</v>
      </c>
      <c r="F829" s="135">
        <v>0</v>
      </c>
      <c r="G829" s="197">
        <v>30000000</v>
      </c>
      <c r="H829" s="312">
        <f>G829/D829*100</f>
        <v>50</v>
      </c>
      <c r="I829" s="197">
        <f>G829</f>
        <v>30000000</v>
      </c>
      <c r="J829" s="301">
        <f>H829</f>
        <v>50</v>
      </c>
      <c r="K829" s="349">
        <f>7/12</f>
        <v>0.58333333333333337</v>
      </c>
      <c r="L829" s="301">
        <f>J829</f>
        <v>50</v>
      </c>
      <c r="M829" s="132"/>
    </row>
    <row r="830" spans="1:13">
      <c r="A830" s="63"/>
      <c r="B830" s="64"/>
      <c r="C830" s="65" t="s">
        <v>45</v>
      </c>
      <c r="D830" s="66">
        <f>SUM(D828:D829)</f>
        <v>70000000</v>
      </c>
      <c r="E830" s="66">
        <f>SUM(E826:E829)</f>
        <v>0</v>
      </c>
      <c r="F830" s="66">
        <f>SUM(F826:F829)</f>
        <v>0</v>
      </c>
      <c r="G830" s="122">
        <f>SUM(G829)</f>
        <v>30000000</v>
      </c>
      <c r="H830" s="323">
        <f>G830/D830*100</f>
        <v>42.857142857142854</v>
      </c>
      <c r="I830" s="122">
        <f>SUM(I829)</f>
        <v>30000000</v>
      </c>
      <c r="J830" s="302">
        <f>H830</f>
        <v>42.857142857142854</v>
      </c>
      <c r="K830" s="356">
        <f>7/12</f>
        <v>0.58333333333333337</v>
      </c>
      <c r="L830" s="302">
        <f>SUM(L826:L829)</f>
        <v>50</v>
      </c>
      <c r="M830" s="66"/>
    </row>
    <row r="831" spans="1:13">
      <c r="A831" s="44">
        <v>16</v>
      </c>
      <c r="B831" s="81" t="s">
        <v>71</v>
      </c>
      <c r="C831" s="82"/>
      <c r="D831" s="57"/>
      <c r="E831" s="119"/>
      <c r="F831" s="131"/>
      <c r="G831" s="119"/>
      <c r="H831" s="152"/>
      <c r="I831" s="119"/>
      <c r="J831" s="152"/>
      <c r="K831" s="152"/>
      <c r="L831" s="152"/>
      <c r="M831" s="131"/>
    </row>
    <row r="832" spans="1:13">
      <c r="A832" s="44"/>
      <c r="B832" s="47" t="s">
        <v>72</v>
      </c>
      <c r="C832" s="48" t="s">
        <v>73</v>
      </c>
      <c r="D832" s="60">
        <v>5000000</v>
      </c>
      <c r="E832" s="120">
        <v>0</v>
      </c>
      <c r="F832" s="132">
        <v>0</v>
      </c>
      <c r="G832" s="120">
        <v>5000000</v>
      </c>
      <c r="H832" s="312">
        <f>G832/D832*100</f>
        <v>100</v>
      </c>
      <c r="I832" s="313">
        <f t="shared" ref="I832:I833" si="310">G832</f>
        <v>5000000</v>
      </c>
      <c r="J832" s="314">
        <f t="shared" ref="J832:J833" si="311">I832/D832*100</f>
        <v>100</v>
      </c>
      <c r="K832" s="339">
        <f>7/12</f>
        <v>0.58333333333333337</v>
      </c>
      <c r="L832" s="311">
        <f>J832</f>
        <v>100</v>
      </c>
      <c r="M832" s="132"/>
    </row>
    <row r="833" spans="1:13">
      <c r="A833" s="63"/>
      <c r="B833" s="83"/>
      <c r="C833" s="65" t="s">
        <v>45</v>
      </c>
      <c r="D833" s="66">
        <f>SUM(D832:D832)</f>
        <v>5000000</v>
      </c>
      <c r="E833" s="122">
        <f>SUM(E832:E832)</f>
        <v>0</v>
      </c>
      <c r="F833" s="66">
        <f>SUM(F832:F832)</f>
        <v>0</v>
      </c>
      <c r="G833" s="195">
        <f>G832</f>
        <v>5000000</v>
      </c>
      <c r="H833" s="534">
        <f>G833/D833*100</f>
        <v>100</v>
      </c>
      <c r="I833" s="530">
        <f t="shared" si="310"/>
        <v>5000000</v>
      </c>
      <c r="J833" s="531">
        <f t="shared" si="311"/>
        <v>100</v>
      </c>
      <c r="K833" s="333">
        <f>SUM(K832)</f>
        <v>0.58333333333333337</v>
      </c>
      <c r="L833" s="302">
        <f>SUM(L832)</f>
        <v>100</v>
      </c>
      <c r="M833" s="66"/>
    </row>
    <row r="834" spans="1:13">
      <c r="A834" s="87" t="s">
        <v>69</v>
      </c>
      <c r="B834" s="826" t="s">
        <v>89</v>
      </c>
      <c r="C834" s="827"/>
      <c r="D834" s="70"/>
      <c r="E834" s="123"/>
      <c r="F834" s="134"/>
      <c r="G834" s="123"/>
      <c r="H834" s="156"/>
      <c r="I834" s="123"/>
      <c r="J834" s="156"/>
      <c r="K834" s="156"/>
      <c r="L834" s="156"/>
      <c r="M834" s="134"/>
    </row>
    <row r="835" spans="1:13">
      <c r="A835" s="88"/>
      <c r="B835" s="830" t="s">
        <v>88</v>
      </c>
      <c r="C835" s="831"/>
      <c r="D835" s="57"/>
      <c r="E835" s="119"/>
      <c r="F835" s="131"/>
      <c r="G835" s="119"/>
      <c r="H835" s="152"/>
      <c r="I835" s="119"/>
      <c r="J835" s="152"/>
      <c r="K835" s="152"/>
      <c r="L835" s="152"/>
      <c r="M835" s="131"/>
    </row>
    <row r="836" spans="1:13">
      <c r="A836" s="89"/>
      <c r="B836" s="61" t="s">
        <v>26</v>
      </c>
      <c r="C836" s="90" t="s">
        <v>74</v>
      </c>
      <c r="D836" s="91">
        <v>15000000</v>
      </c>
      <c r="E836" s="126">
        <v>0</v>
      </c>
      <c r="F836" s="136">
        <v>0</v>
      </c>
      <c r="G836" s="126">
        <v>15000000</v>
      </c>
      <c r="H836" s="312">
        <f>G836/D836*100</f>
        <v>100</v>
      </c>
      <c r="I836" s="313">
        <f>G836</f>
        <v>15000000</v>
      </c>
      <c r="J836" s="314">
        <f t="shared" ref="J836:J840" si="312">I836/D836*100</f>
        <v>100</v>
      </c>
      <c r="K836" s="339">
        <f>7/12</f>
        <v>0.58333333333333337</v>
      </c>
      <c r="L836" s="311">
        <f>J836</f>
        <v>100</v>
      </c>
      <c r="M836" s="136"/>
    </row>
    <row r="837" spans="1:13">
      <c r="A837" s="63"/>
      <c r="B837" s="83"/>
      <c r="C837" s="65" t="s">
        <v>45</v>
      </c>
      <c r="D837" s="66">
        <f>SUM(D836:D836)</f>
        <v>15000000</v>
      </c>
      <c r="E837" s="122">
        <f>SUM(E836:E836)</f>
        <v>0</v>
      </c>
      <c r="F837" s="66">
        <f>SUM(F836:F836)</f>
        <v>0</v>
      </c>
      <c r="G837" s="532">
        <f>SUM(G836)</f>
        <v>15000000</v>
      </c>
      <c r="H837" s="323">
        <f>G837/D837*100</f>
        <v>100</v>
      </c>
      <c r="I837" s="533">
        <f t="shared" ref="I837" si="313">G837</f>
        <v>15000000</v>
      </c>
      <c r="J837" s="340">
        <f t="shared" si="312"/>
        <v>100</v>
      </c>
      <c r="K837" s="333">
        <f>SUM(K836)</f>
        <v>0.58333333333333337</v>
      </c>
      <c r="L837" s="302">
        <f>SUM(L836)</f>
        <v>100</v>
      </c>
      <c r="M837" s="66"/>
    </row>
    <row r="838" spans="1:13">
      <c r="A838" s="88"/>
      <c r="B838" s="826" t="s">
        <v>94</v>
      </c>
      <c r="C838" s="827"/>
      <c r="D838" s="57"/>
      <c r="E838" s="119"/>
      <c r="F838" s="131"/>
      <c r="G838" s="119"/>
      <c r="H838" s="152"/>
      <c r="I838" s="119"/>
      <c r="J838" s="152"/>
      <c r="K838" s="152"/>
      <c r="L838" s="152"/>
      <c r="M838" s="131"/>
    </row>
    <row r="839" spans="1:13">
      <c r="A839" s="84"/>
      <c r="B839" s="92" t="s">
        <v>26</v>
      </c>
      <c r="C839" s="48" t="s">
        <v>134</v>
      </c>
      <c r="D839" s="60">
        <v>4000000</v>
      </c>
      <c r="E839" s="125">
        <v>0</v>
      </c>
      <c r="F839" s="135">
        <v>0</v>
      </c>
      <c r="G839" s="197">
        <v>4000000</v>
      </c>
      <c r="H839" s="312">
        <f>G839/D839*100</f>
        <v>100</v>
      </c>
      <c r="I839" s="197">
        <f>G839</f>
        <v>4000000</v>
      </c>
      <c r="J839" s="314">
        <f t="shared" si="312"/>
        <v>100</v>
      </c>
      <c r="K839" s="355">
        <f>7/12</f>
        <v>0.58333333333333337</v>
      </c>
      <c r="L839" s="301">
        <f>J839</f>
        <v>100</v>
      </c>
      <c r="M839" s="132"/>
    </row>
    <row r="840" spans="1:13">
      <c r="A840" s="93"/>
      <c r="B840" s="64"/>
      <c r="C840" s="65" t="s">
        <v>45</v>
      </c>
      <c r="D840" s="66">
        <f>SUM(D839:D839)</f>
        <v>4000000</v>
      </c>
      <c r="E840" s="66">
        <f t="shared" ref="E840:F840" si="314">SUM(E834:E839)</f>
        <v>0</v>
      </c>
      <c r="F840" s="66">
        <f t="shared" si="314"/>
        <v>0</v>
      </c>
      <c r="G840" s="122">
        <f>SUM(G839)</f>
        <v>4000000</v>
      </c>
      <c r="H840" s="323">
        <f>G840/D840*100</f>
        <v>100</v>
      </c>
      <c r="I840" s="533">
        <f t="shared" ref="I840" si="315">G840</f>
        <v>4000000</v>
      </c>
      <c r="J840" s="340">
        <f t="shared" si="312"/>
        <v>100</v>
      </c>
      <c r="K840" s="350">
        <f>7/12</f>
        <v>0.58333333333333337</v>
      </c>
      <c r="L840" s="302">
        <f>J840</f>
        <v>100</v>
      </c>
      <c r="M840" s="66"/>
    </row>
    <row r="841" spans="1:13">
      <c r="A841" s="84">
        <v>16</v>
      </c>
      <c r="B841" s="826" t="s">
        <v>75</v>
      </c>
      <c r="C841" s="827"/>
      <c r="D841" s="57"/>
      <c r="E841" s="119"/>
      <c r="F841" s="131"/>
      <c r="G841" s="119"/>
      <c r="H841" s="156"/>
      <c r="I841" s="123"/>
      <c r="J841" s="152"/>
      <c r="K841" s="152"/>
      <c r="L841" s="152"/>
      <c r="M841" s="131"/>
    </row>
    <row r="842" spans="1:13">
      <c r="A842" s="84"/>
      <c r="B842" s="94" t="s">
        <v>72</v>
      </c>
      <c r="C842" s="95" t="s">
        <v>103</v>
      </c>
      <c r="D842" s="80">
        <v>10000000</v>
      </c>
      <c r="E842" s="124"/>
      <c r="F842" s="131"/>
      <c r="G842" s="218">
        <v>6000000</v>
      </c>
      <c r="H842" s="312">
        <f>G842/D842*100</f>
        <v>60</v>
      </c>
      <c r="I842" s="313">
        <f t="shared" ref="I842" si="316">G842</f>
        <v>6000000</v>
      </c>
      <c r="J842" s="314">
        <f t="shared" ref="J842" si="317">I842/D842*100</f>
        <v>60</v>
      </c>
      <c r="K842" s="339">
        <f>7/12</f>
        <v>0.58333333333333337</v>
      </c>
      <c r="L842" s="311">
        <f>J842</f>
        <v>60</v>
      </c>
      <c r="M842" s="131"/>
    </row>
    <row r="843" spans="1:13">
      <c r="A843" s="93"/>
      <c r="B843" s="83"/>
      <c r="C843" s="65" t="s">
        <v>45</v>
      </c>
      <c r="D843" s="66">
        <f>SUM(D842)</f>
        <v>10000000</v>
      </c>
      <c r="E843" s="66">
        <f t="shared" ref="E843:F843" si="318">SUM(E841:E842)</f>
        <v>0</v>
      </c>
      <c r="F843" s="66">
        <f t="shared" si="318"/>
        <v>0</v>
      </c>
      <c r="G843" s="122">
        <f>SUM(G842)</f>
        <v>6000000</v>
      </c>
      <c r="H843" s="302">
        <f t="shared" ref="H843:J843" si="319">SUM(H842)</f>
        <v>60</v>
      </c>
      <c r="I843" s="122">
        <f t="shared" si="319"/>
        <v>6000000</v>
      </c>
      <c r="J843" s="302">
        <f t="shared" si="319"/>
        <v>60</v>
      </c>
      <c r="K843" s="333">
        <f>SUM(K842)</f>
        <v>0.58333333333333337</v>
      </c>
      <c r="L843" s="302">
        <f t="shared" ref="L843" si="320">SUM(L842)</f>
        <v>60</v>
      </c>
      <c r="M843" s="66"/>
    </row>
    <row r="844" spans="1:13">
      <c r="A844" s="84">
        <v>22</v>
      </c>
      <c r="B844" s="826" t="s">
        <v>87</v>
      </c>
      <c r="C844" s="827"/>
      <c r="D844" s="57"/>
      <c r="E844" s="119"/>
      <c r="F844" s="131"/>
      <c r="G844" s="119"/>
      <c r="H844" s="152"/>
      <c r="I844" s="119"/>
      <c r="J844" s="152"/>
      <c r="K844" s="152"/>
      <c r="L844" s="152"/>
      <c r="M844" s="131"/>
    </row>
    <row r="845" spans="1:13" ht="25.5">
      <c r="A845" s="84"/>
      <c r="B845" s="47" t="s">
        <v>26</v>
      </c>
      <c r="C845" s="95" t="s">
        <v>76</v>
      </c>
      <c r="D845" s="60">
        <v>3500000</v>
      </c>
      <c r="E845" s="125">
        <v>0</v>
      </c>
      <c r="F845" s="135">
        <v>0</v>
      </c>
      <c r="G845" s="197">
        <f>875000+875000</f>
        <v>1750000</v>
      </c>
      <c r="H845" s="312">
        <f>G845/D845*100</f>
        <v>50</v>
      </c>
      <c r="I845" s="197">
        <f>G845</f>
        <v>1750000</v>
      </c>
      <c r="J845" s="314">
        <f t="shared" ref="J845:J846" si="321">I845/D845*100</f>
        <v>50</v>
      </c>
      <c r="K845" s="339">
        <f>7/12</f>
        <v>0.58333333333333337</v>
      </c>
      <c r="L845" s="311">
        <f>J845</f>
        <v>50</v>
      </c>
      <c r="M845" s="132"/>
    </row>
    <row r="846" spans="1:13">
      <c r="A846" s="63"/>
      <c r="B846" s="83"/>
      <c r="C846" s="65" t="s">
        <v>45</v>
      </c>
      <c r="D846" s="66">
        <f>SUM(D845:D845)</f>
        <v>3500000</v>
      </c>
      <c r="E846" s="66">
        <f t="shared" ref="E846:F846" si="322">SUM(E843:E845)</f>
        <v>0</v>
      </c>
      <c r="F846" s="66">
        <f t="shared" si="322"/>
        <v>0</v>
      </c>
      <c r="G846" s="122">
        <f>SUM(G845)</f>
        <v>1750000</v>
      </c>
      <c r="H846" s="535">
        <f>G846/D846*100</f>
        <v>50</v>
      </c>
      <c r="I846" s="122">
        <f>SUM(I845)</f>
        <v>1750000</v>
      </c>
      <c r="J846" s="536">
        <f t="shared" si="321"/>
        <v>50</v>
      </c>
      <c r="K846" s="333">
        <f>SUM(K845)</f>
        <v>0.58333333333333337</v>
      </c>
      <c r="L846" s="302">
        <f>SUM(L845)</f>
        <v>50</v>
      </c>
      <c r="M846" s="66"/>
    </row>
    <row r="847" spans="1:13">
      <c r="A847" s="44">
        <v>17</v>
      </c>
      <c r="B847" s="822" t="s">
        <v>56</v>
      </c>
      <c r="C847" s="823"/>
      <c r="D847" s="57"/>
      <c r="E847" s="119"/>
      <c r="F847" s="131"/>
      <c r="G847" s="119"/>
      <c r="H847" s="152"/>
      <c r="I847" s="119"/>
      <c r="J847" s="152"/>
      <c r="K847" s="152"/>
      <c r="L847" s="152"/>
      <c r="M847" s="131"/>
    </row>
    <row r="848" spans="1:13">
      <c r="A848" s="44"/>
      <c r="B848" s="47">
        <v>19</v>
      </c>
      <c r="C848" s="824" t="s">
        <v>91</v>
      </c>
      <c r="E848" s="120"/>
      <c r="F848" s="132"/>
      <c r="G848" s="119"/>
      <c r="H848" s="59"/>
      <c r="I848" s="119"/>
      <c r="J848" s="59"/>
      <c r="K848" s="59"/>
      <c r="L848" s="59"/>
      <c r="M848" s="132"/>
    </row>
    <row r="849" spans="1:13">
      <c r="A849" s="44"/>
      <c r="B849" s="163"/>
      <c r="C849" s="825"/>
      <c r="D849" s="60">
        <v>25000000</v>
      </c>
      <c r="E849" s="164">
        <v>0</v>
      </c>
      <c r="F849" s="165">
        <v>0</v>
      </c>
      <c r="G849" s="330">
        <v>10070000</v>
      </c>
      <c r="H849" s="312">
        <f>G849/D849*100</f>
        <v>40.28</v>
      </c>
      <c r="I849" s="197">
        <f>G849</f>
        <v>10070000</v>
      </c>
      <c r="J849" s="314">
        <f t="shared" ref="J849" si="323">I849/D849*100</f>
        <v>40.28</v>
      </c>
      <c r="K849" s="339">
        <f>7/12</f>
        <v>0.58333333333333337</v>
      </c>
      <c r="L849" s="314">
        <f>J849</f>
        <v>40.28</v>
      </c>
      <c r="M849" s="165"/>
    </row>
    <row r="850" spans="1:13">
      <c r="A850" s="63"/>
      <c r="B850" s="96"/>
      <c r="C850" s="65" t="s">
        <v>45</v>
      </c>
      <c r="D850" s="66">
        <f>SUM(D849:D849)</f>
        <v>25000000</v>
      </c>
      <c r="E850" s="122">
        <f>SUM(E848:E848)</f>
        <v>0</v>
      </c>
      <c r="F850" s="137">
        <f>SUM(F848:F848)</f>
        <v>0</v>
      </c>
      <c r="G850" s="122">
        <f>SUM(G849)</f>
        <v>10070000</v>
      </c>
      <c r="H850" s="302">
        <f>SUM(H849)</f>
        <v>40.28</v>
      </c>
      <c r="I850" s="122">
        <f>SUM(I849)</f>
        <v>10070000</v>
      </c>
      <c r="J850" s="324">
        <f>SUM(J849)</f>
        <v>40.28</v>
      </c>
      <c r="K850" s="333">
        <f>SUM(K849)</f>
        <v>0.58333333333333337</v>
      </c>
      <c r="L850" s="340">
        <f>J850</f>
        <v>40.28</v>
      </c>
      <c r="M850" s="137"/>
    </row>
    <row r="851" spans="1:13">
      <c r="A851" s="44">
        <v>19</v>
      </c>
      <c r="B851" s="826" t="s">
        <v>57</v>
      </c>
      <c r="C851" s="827"/>
      <c r="D851" s="57"/>
      <c r="E851" s="119"/>
      <c r="F851" s="131"/>
      <c r="G851" s="119"/>
      <c r="H851" s="152"/>
      <c r="I851" s="119"/>
      <c r="J851" s="152"/>
      <c r="K851" s="152"/>
      <c r="L851" s="152"/>
      <c r="M851" s="131"/>
    </row>
    <row r="852" spans="1:13">
      <c r="A852" s="44"/>
      <c r="B852" s="47" t="s">
        <v>26</v>
      </c>
      <c r="C852" s="48" t="s">
        <v>58</v>
      </c>
      <c r="D852" s="60">
        <v>15000000</v>
      </c>
      <c r="E852" s="120">
        <v>0</v>
      </c>
      <c r="F852" s="132">
        <v>0</v>
      </c>
      <c r="G852" s="197">
        <v>15000000</v>
      </c>
      <c r="H852" s="59">
        <f>G852/D852*100</f>
        <v>100</v>
      </c>
      <c r="I852" s="197">
        <f>G852</f>
        <v>15000000</v>
      </c>
      <c r="J852" s="301">
        <f>I852/D852*100</f>
        <v>100</v>
      </c>
      <c r="K852" s="339">
        <f>7/12</f>
        <v>0.58333333333333337</v>
      </c>
      <c r="L852" s="311">
        <f>J852</f>
        <v>100</v>
      </c>
      <c r="M852" s="132"/>
    </row>
    <row r="853" spans="1:13">
      <c r="A853" s="183"/>
      <c r="B853" s="64"/>
      <c r="C853" s="65" t="s">
        <v>45</v>
      </c>
      <c r="D853" s="66">
        <f>SUM(D852)</f>
        <v>15000000</v>
      </c>
      <c r="E853" s="122">
        <f>SUM(E850:E850)</f>
        <v>0</v>
      </c>
      <c r="F853" s="66">
        <f>SUM(F850:F850)</f>
        <v>0</v>
      </c>
      <c r="G853" s="122">
        <f>G852</f>
        <v>15000000</v>
      </c>
      <c r="H853" s="66">
        <f>G853/D853*100</f>
        <v>100</v>
      </c>
      <c r="I853" s="122">
        <f>I852</f>
        <v>15000000</v>
      </c>
      <c r="J853" s="324">
        <f>I853/D853*100</f>
        <v>100</v>
      </c>
      <c r="K853" s="333">
        <f>SUM(K852)</f>
        <v>0.58333333333333337</v>
      </c>
      <c r="L853" s="302">
        <f>SUM(L852)</f>
        <v>100</v>
      </c>
      <c r="M853" s="66"/>
    </row>
    <row r="854" spans="1:13">
      <c r="A854" s="44">
        <v>32</v>
      </c>
      <c r="B854" s="97" t="s">
        <v>59</v>
      </c>
      <c r="C854" s="98"/>
      <c r="D854" s="57"/>
      <c r="E854" s="119"/>
      <c r="F854" s="131"/>
      <c r="G854" s="119"/>
      <c r="H854" s="152"/>
      <c r="I854" s="119"/>
      <c r="J854" s="152"/>
      <c r="K854" s="152"/>
      <c r="L854" s="152"/>
      <c r="M854" s="131"/>
    </row>
    <row r="855" spans="1:13">
      <c r="A855" s="44"/>
      <c r="B855" s="47" t="s">
        <v>26</v>
      </c>
      <c r="C855" s="58" t="s">
        <v>60</v>
      </c>
      <c r="D855" s="60">
        <v>15000000</v>
      </c>
      <c r="E855" s="120">
        <v>0</v>
      </c>
      <c r="F855" s="132">
        <v>0</v>
      </c>
      <c r="G855" s="197">
        <f>750000+225000+ 1500000</f>
        <v>2475000</v>
      </c>
      <c r="H855" s="301">
        <f>G855/D855*100</f>
        <v>16.5</v>
      </c>
      <c r="I855" s="192">
        <f>G855</f>
        <v>2475000</v>
      </c>
      <c r="J855" s="301">
        <f>I855/D855*100</f>
        <v>16.5</v>
      </c>
      <c r="K855" s="339">
        <f>7/12</f>
        <v>0.58333333333333337</v>
      </c>
      <c r="L855" s="311">
        <f>J855</f>
        <v>16.5</v>
      </c>
      <c r="M855" s="132"/>
    </row>
    <row r="856" spans="1:13">
      <c r="A856" s="63"/>
      <c r="B856" s="64"/>
      <c r="C856" s="65" t="s">
        <v>45</v>
      </c>
      <c r="D856" s="66">
        <f>SUM(D855)</f>
        <v>15000000</v>
      </c>
      <c r="E856" s="122">
        <f>SUM(E855:E855)</f>
        <v>0</v>
      </c>
      <c r="F856" s="66">
        <f>SUM(F855:F855)</f>
        <v>0</v>
      </c>
      <c r="G856" s="122">
        <f>G855</f>
        <v>2475000</v>
      </c>
      <c r="H856" s="302">
        <f>G856/D856*100</f>
        <v>16.5</v>
      </c>
      <c r="I856" s="122">
        <f>I855</f>
        <v>2475000</v>
      </c>
      <c r="J856" s="302">
        <f>I856/D856*100</f>
        <v>16.5</v>
      </c>
      <c r="K856" s="333">
        <f>SUM(K855:K855)</f>
        <v>0.58333333333333337</v>
      </c>
      <c r="L856" s="302">
        <f>SUM(L855:L855)</f>
        <v>16.5</v>
      </c>
      <c r="M856" s="66"/>
    </row>
    <row r="857" spans="1:13">
      <c r="A857" s="99">
        <v>15</v>
      </c>
      <c r="B857" s="100" t="s">
        <v>77</v>
      </c>
      <c r="C857" s="522"/>
      <c r="D857" s="70"/>
      <c r="E857" s="123"/>
      <c r="F857" s="134"/>
      <c r="G857" s="123"/>
      <c r="H857" s="156"/>
      <c r="I857" s="123"/>
      <c r="J857" s="144"/>
      <c r="K857" s="156"/>
      <c r="L857" s="156"/>
      <c r="M857" s="134"/>
    </row>
    <row r="858" spans="1:13">
      <c r="A858" s="84"/>
      <c r="B858" s="101" t="s">
        <v>78</v>
      </c>
      <c r="C858" s="48"/>
      <c r="D858" s="102"/>
      <c r="E858" s="119"/>
      <c r="F858" s="131"/>
      <c r="G858" s="119"/>
      <c r="H858" s="152"/>
      <c r="I858" s="119"/>
      <c r="J858" s="59"/>
      <c r="K858" s="152"/>
      <c r="L858" s="152"/>
      <c r="M858" s="131"/>
    </row>
    <row r="859" spans="1:13">
      <c r="A859" s="44"/>
      <c r="B859" s="47" t="s">
        <v>26</v>
      </c>
      <c r="C859" s="48" t="s">
        <v>79</v>
      </c>
      <c r="D859" s="60">
        <v>5000000</v>
      </c>
      <c r="E859" s="120">
        <v>0</v>
      </c>
      <c r="F859" s="132">
        <v>0</v>
      </c>
      <c r="G859" s="199">
        <v>5000000</v>
      </c>
      <c r="H859" s="59">
        <f>G859/D859*100</f>
        <v>100</v>
      </c>
      <c r="I859" s="199">
        <f>G859</f>
        <v>5000000</v>
      </c>
      <c r="J859" s="301">
        <f>I859/D859*100</f>
        <v>100</v>
      </c>
      <c r="K859" s="339">
        <f>7/12</f>
        <v>0.58333333333333337</v>
      </c>
      <c r="L859" s="59">
        <v>0</v>
      </c>
      <c r="M859" s="132"/>
    </row>
    <row r="860" spans="1:13">
      <c r="A860" s="89"/>
      <c r="B860" s="61" t="s">
        <v>80</v>
      </c>
      <c r="C860" s="103" t="s">
        <v>104</v>
      </c>
      <c r="D860" s="91">
        <v>15000000</v>
      </c>
      <c r="E860" s="127">
        <v>0</v>
      </c>
      <c r="F860" s="138">
        <v>0</v>
      </c>
      <c r="G860" s="197">
        <v>15000000</v>
      </c>
      <c r="H860" s="59">
        <f>G860/D860*100</f>
        <v>100</v>
      </c>
      <c r="I860" s="197">
        <f>G860</f>
        <v>15000000</v>
      </c>
      <c r="J860" s="301">
        <f>I860/D860*100</f>
        <v>100</v>
      </c>
      <c r="K860" s="355">
        <f>7/12</f>
        <v>0.58333333333333337</v>
      </c>
      <c r="L860" s="157">
        <v>0</v>
      </c>
      <c r="M860" s="136"/>
    </row>
    <row r="861" spans="1:13">
      <c r="A861" s="93"/>
      <c r="B861" s="83"/>
      <c r="C861" s="65" t="s">
        <v>45</v>
      </c>
      <c r="D861" s="66">
        <f>SUM(D859:D860)</f>
        <v>20000000</v>
      </c>
      <c r="E861" s="66">
        <f>SUM(E859:E860)</f>
        <v>0</v>
      </c>
      <c r="F861" s="66">
        <f t="shared" ref="F861" si="324">SUM(F859:F860)</f>
        <v>0</v>
      </c>
      <c r="G861" s="122">
        <f>SUM(G859:G860)</f>
        <v>20000000</v>
      </c>
      <c r="H861" s="302">
        <f>G861/D861*100</f>
        <v>100</v>
      </c>
      <c r="I861" s="537">
        <f>SUM(I859:I860)</f>
        <v>20000000</v>
      </c>
      <c r="J861" s="302">
        <f>I861/D861*100</f>
        <v>100</v>
      </c>
      <c r="K861" s="350">
        <f>7/12</f>
        <v>0.58333333333333337</v>
      </c>
      <c r="L861" s="66">
        <f t="shared" ref="L861" si="325">SUM(L859:L860)</f>
        <v>0</v>
      </c>
      <c r="M861" s="66"/>
    </row>
    <row r="862" spans="1:13">
      <c r="A862" s="84">
        <v>18</v>
      </c>
      <c r="B862" s="75" t="s">
        <v>82</v>
      </c>
      <c r="C862" s="76"/>
      <c r="D862" s="57"/>
      <c r="E862" s="119"/>
      <c r="F862" s="131"/>
      <c r="G862" s="119"/>
      <c r="H862" s="152"/>
      <c r="I862" s="119"/>
      <c r="J862" s="152"/>
      <c r="K862" s="152"/>
      <c r="L862" s="152"/>
      <c r="M862" s="131"/>
    </row>
    <row r="863" spans="1:13" ht="26.25">
      <c r="A863" s="84"/>
      <c r="B863" s="94" t="s">
        <v>29</v>
      </c>
      <c r="C863" s="48" t="s">
        <v>92</v>
      </c>
      <c r="D863" s="60">
        <v>7500000</v>
      </c>
      <c r="E863" s="120">
        <v>0</v>
      </c>
      <c r="F863" s="132">
        <v>0</v>
      </c>
      <c r="G863" s="199">
        <v>7500000</v>
      </c>
      <c r="H863" s="301">
        <f>G863/D863*100</f>
        <v>100</v>
      </c>
      <c r="I863" s="192">
        <f>G863</f>
        <v>7500000</v>
      </c>
      <c r="J863" s="301">
        <f t="shared" ref="J863" si="326">I863/D863*100</f>
        <v>100</v>
      </c>
      <c r="K863" s="339">
        <f>7/12</f>
        <v>0.58333333333333337</v>
      </c>
      <c r="L863" s="311">
        <f>J863</f>
        <v>100</v>
      </c>
      <c r="M863" s="131"/>
    </row>
    <row r="864" spans="1:13" ht="26.25">
      <c r="A864" s="84"/>
      <c r="B864" s="94" t="s">
        <v>83</v>
      </c>
      <c r="C864" s="48" t="s">
        <v>93</v>
      </c>
      <c r="D864" s="62">
        <v>10000000</v>
      </c>
      <c r="E864" s="121">
        <v>0</v>
      </c>
      <c r="F864" s="133">
        <v>0</v>
      </c>
      <c r="G864" s="200">
        <v>10000000</v>
      </c>
      <c r="H864" s="301">
        <f>G864/D864*100</f>
        <v>100</v>
      </c>
      <c r="I864" s="200">
        <f>G864</f>
        <v>10000000</v>
      </c>
      <c r="J864" s="301">
        <f>I864/D864*100</f>
        <v>100</v>
      </c>
      <c r="K864" s="355">
        <f>7/12</f>
        <v>0.58333333333333337</v>
      </c>
      <c r="L864" s="311">
        <f>J864</f>
        <v>100</v>
      </c>
      <c r="M864" s="131"/>
    </row>
    <row r="865" spans="1:13">
      <c r="A865" s="93"/>
      <c r="B865" s="64"/>
      <c r="C865" s="65" t="s">
        <v>45</v>
      </c>
      <c r="D865" s="66">
        <f>SUM(D863:D864)</f>
        <v>17500000</v>
      </c>
      <c r="E865" s="66">
        <f t="shared" ref="E865:F865" si="327">SUM(E863:E864)</f>
        <v>0</v>
      </c>
      <c r="F865" s="66">
        <f t="shared" si="327"/>
        <v>0</v>
      </c>
      <c r="G865" s="122">
        <f>SUM(G863:G864)</f>
        <v>17500000</v>
      </c>
      <c r="H865" s="302">
        <f>G865/D865*100</f>
        <v>100</v>
      </c>
      <c r="I865" s="122">
        <f t="shared" ref="I865" si="328">SUM(I863:I864)</f>
        <v>17500000</v>
      </c>
      <c r="J865" s="302">
        <f>I865/D865*100</f>
        <v>100</v>
      </c>
      <c r="K865" s="350">
        <f>7/12</f>
        <v>0.58333333333333337</v>
      </c>
      <c r="L865" s="302">
        <f>SUM(L864:L864)</f>
        <v>100</v>
      </c>
      <c r="M865" s="66"/>
    </row>
    <row r="866" spans="1:13">
      <c r="A866" s="99">
        <v>26</v>
      </c>
      <c r="B866" s="104" t="s">
        <v>105</v>
      </c>
      <c r="C866" s="105"/>
      <c r="D866" s="57"/>
      <c r="E866" s="119"/>
      <c r="F866" s="131"/>
      <c r="G866" s="119"/>
      <c r="H866" s="152"/>
      <c r="I866" s="119"/>
      <c r="J866" s="152"/>
      <c r="K866" s="152"/>
      <c r="L866" s="152"/>
      <c r="M866" s="131"/>
    </row>
    <row r="867" spans="1:13">
      <c r="A867" s="44"/>
      <c r="B867" s="47" t="s">
        <v>84</v>
      </c>
      <c r="C867" s="48" t="s">
        <v>106</v>
      </c>
      <c r="D867" s="60">
        <v>5000000</v>
      </c>
      <c r="E867" s="120" t="s">
        <v>132</v>
      </c>
      <c r="F867" s="132">
        <v>0</v>
      </c>
      <c r="G867" s="120" t="s">
        <v>132</v>
      </c>
      <c r="H867" s="59" t="s">
        <v>132</v>
      </c>
      <c r="I867" s="120">
        <v>0</v>
      </c>
      <c r="J867" s="59" t="s">
        <v>132</v>
      </c>
      <c r="K867" s="157">
        <v>0</v>
      </c>
      <c r="L867" s="59">
        <v>0</v>
      </c>
      <c r="M867" s="132"/>
    </row>
    <row r="868" spans="1:13">
      <c r="A868" s="63"/>
      <c r="B868" s="64"/>
      <c r="C868" s="65" t="s">
        <v>45</v>
      </c>
      <c r="D868" s="66">
        <f>SUM(D867)</f>
        <v>5000000</v>
      </c>
      <c r="E868" s="66">
        <v>0</v>
      </c>
      <c r="F868" s="66">
        <f t="shared" ref="F868" si="329">SUM(F865:F867)</f>
        <v>0</v>
      </c>
      <c r="G868" s="122" t="s">
        <v>132</v>
      </c>
      <c r="H868" s="66" t="s">
        <v>132</v>
      </c>
      <c r="I868" s="122" t="s">
        <v>132</v>
      </c>
      <c r="J868" s="66" t="s">
        <v>132</v>
      </c>
      <c r="K868" s="66">
        <f>SUM(K867)</f>
        <v>0</v>
      </c>
      <c r="L868" s="66">
        <v>0</v>
      </c>
      <c r="M868" s="66"/>
    </row>
    <row r="869" spans="1:13">
      <c r="A869" s="99">
        <v>16</v>
      </c>
      <c r="B869" s="104" t="s">
        <v>123</v>
      </c>
      <c r="C869" s="105"/>
      <c r="D869" s="57"/>
      <c r="E869" s="119"/>
      <c r="F869" s="131"/>
      <c r="G869" s="119"/>
      <c r="H869" s="152"/>
      <c r="I869" s="119"/>
      <c r="J869" s="152"/>
      <c r="K869" s="152"/>
      <c r="L869" s="152"/>
      <c r="M869" s="131"/>
    </row>
    <row r="870" spans="1:13">
      <c r="A870" s="84"/>
      <c r="B870" s="185" t="s">
        <v>124</v>
      </c>
      <c r="C870" s="186"/>
      <c r="D870" s="182"/>
      <c r="E870" s="124"/>
      <c r="F870" s="131"/>
      <c r="G870" s="131"/>
      <c r="H870" s="152"/>
      <c r="I870" s="131"/>
      <c r="J870" s="152"/>
      <c r="K870" s="152"/>
      <c r="L870" s="152"/>
      <c r="M870" s="152"/>
    </row>
    <row r="871" spans="1:13" ht="26.25">
      <c r="A871" s="44"/>
      <c r="B871" s="282" t="s">
        <v>46</v>
      </c>
      <c r="C871" s="50" t="s">
        <v>217</v>
      </c>
      <c r="D871" s="60">
        <v>27000000</v>
      </c>
      <c r="E871" s="125">
        <v>0</v>
      </c>
      <c r="F871" s="135">
        <v>0</v>
      </c>
      <c r="G871" s="124">
        <v>0</v>
      </c>
      <c r="H871" s="59" t="s">
        <v>132</v>
      </c>
      <c r="I871" s="124">
        <v>0</v>
      </c>
      <c r="J871" s="59" t="s">
        <v>132</v>
      </c>
      <c r="K871" s="59">
        <v>0</v>
      </c>
      <c r="L871" s="59">
        <v>0</v>
      </c>
      <c r="M871" s="59"/>
    </row>
    <row r="872" spans="1:13">
      <c r="A872" s="44"/>
      <c r="B872" s="163" t="s">
        <v>111</v>
      </c>
      <c r="C872" s="204" t="s">
        <v>81</v>
      </c>
      <c r="D872" s="205">
        <v>3000000</v>
      </c>
      <c r="E872" s="125">
        <v>0</v>
      </c>
      <c r="F872" s="135">
        <v>0</v>
      </c>
      <c r="G872" s="201" t="s">
        <v>132</v>
      </c>
      <c r="H872" s="187" t="s">
        <v>132</v>
      </c>
      <c r="I872" s="201" t="s">
        <v>132</v>
      </c>
      <c r="J872" s="187" t="s">
        <v>132</v>
      </c>
      <c r="K872" s="212">
        <v>0</v>
      </c>
      <c r="L872" s="187"/>
      <c r="M872" s="188"/>
    </row>
    <row r="873" spans="1:13">
      <c r="A873" s="63"/>
      <c r="B873" s="64"/>
      <c r="C873" s="65" t="s">
        <v>45</v>
      </c>
      <c r="D873" s="66">
        <f>SUM(D871:D872)</f>
        <v>30000000</v>
      </c>
      <c r="E873" s="66">
        <f>SUM(E871:E872)</f>
        <v>0</v>
      </c>
      <c r="F873" s="66">
        <f>SUM(F871:F872)</f>
        <v>0</v>
      </c>
      <c r="G873" s="122" t="s">
        <v>132</v>
      </c>
      <c r="H873" s="66" t="s">
        <v>132</v>
      </c>
      <c r="I873" s="122">
        <f>SUM(I871:I872)</f>
        <v>0</v>
      </c>
      <c r="J873" s="66" t="s">
        <v>132</v>
      </c>
      <c r="K873" s="66">
        <f>SUM(K871:K872)</f>
        <v>0</v>
      </c>
      <c r="L873" s="66">
        <f>SUM(L871:L872)</f>
        <v>0</v>
      </c>
      <c r="M873" s="66"/>
    </row>
    <row r="874" spans="1:13">
      <c r="A874" s="99">
        <v>17</v>
      </c>
      <c r="B874" s="104" t="s">
        <v>127</v>
      </c>
      <c r="C874" s="105"/>
      <c r="D874" s="57"/>
      <c r="E874" s="119"/>
      <c r="F874" s="131"/>
      <c r="G874" s="119"/>
      <c r="H874" s="152"/>
      <c r="I874" s="119"/>
      <c r="J874" s="152"/>
      <c r="K874" s="152"/>
      <c r="L874" s="152"/>
      <c r="M874" s="131"/>
    </row>
    <row r="875" spans="1:13" ht="26.25">
      <c r="A875" s="44"/>
      <c r="B875" s="47" t="s">
        <v>84</v>
      </c>
      <c r="C875" s="48" t="s">
        <v>128</v>
      </c>
      <c r="D875" s="60">
        <v>10000000</v>
      </c>
      <c r="E875" s="120">
        <v>0</v>
      </c>
      <c r="F875" s="132">
        <v>0</v>
      </c>
      <c r="G875" s="120" t="s">
        <v>132</v>
      </c>
      <c r="H875" s="59" t="s">
        <v>132</v>
      </c>
      <c r="I875" s="120">
        <v>0</v>
      </c>
      <c r="J875" s="59" t="s">
        <v>132</v>
      </c>
      <c r="K875" s="157">
        <v>0</v>
      </c>
      <c r="L875" s="59">
        <v>0</v>
      </c>
      <c r="M875" s="132"/>
    </row>
    <row r="876" spans="1:13">
      <c r="A876" s="63"/>
      <c r="B876" s="64"/>
      <c r="C876" s="65" t="s">
        <v>45</v>
      </c>
      <c r="D876" s="66">
        <f>SUM(D875)</f>
        <v>10000000</v>
      </c>
      <c r="E876" s="66">
        <f t="shared" ref="E876:F876" si="330">SUM(E873:E875)</f>
        <v>0</v>
      </c>
      <c r="F876" s="66">
        <f t="shared" si="330"/>
        <v>0</v>
      </c>
      <c r="G876" s="122" t="s">
        <v>132</v>
      </c>
      <c r="H876" s="66" t="s">
        <v>132</v>
      </c>
      <c r="I876" s="122" t="s">
        <v>132</v>
      </c>
      <c r="J876" s="66" t="s">
        <v>132</v>
      </c>
      <c r="K876" s="66">
        <f>SUM(K875)</f>
        <v>0</v>
      </c>
      <c r="L876" s="66">
        <v>0</v>
      </c>
      <c r="M876" s="66"/>
    </row>
    <row r="877" spans="1:13">
      <c r="A877" s="44">
        <v>18</v>
      </c>
      <c r="B877" s="104" t="s">
        <v>218</v>
      </c>
      <c r="C877" s="105"/>
      <c r="D877" s="70"/>
      <c r="E877" s="70"/>
      <c r="F877" s="70"/>
      <c r="G877" s="287"/>
      <c r="H877" s="70"/>
      <c r="I877" s="287"/>
      <c r="J877" s="70"/>
      <c r="K877" s="70"/>
      <c r="L877" s="70"/>
      <c r="M877" s="70"/>
    </row>
    <row r="878" spans="1:13" ht="25.5">
      <c r="A878" s="44"/>
      <c r="B878" s="283" t="s">
        <v>83</v>
      </c>
      <c r="C878" s="284" t="s">
        <v>219</v>
      </c>
      <c r="D878" s="288">
        <v>50000000</v>
      </c>
      <c r="E878" s="285">
        <v>0</v>
      </c>
      <c r="F878" s="285">
        <v>0</v>
      </c>
      <c r="G878" s="286">
        <v>0</v>
      </c>
      <c r="H878" s="285">
        <v>0</v>
      </c>
      <c r="I878" s="286">
        <v>0</v>
      </c>
      <c r="J878" s="285">
        <v>0</v>
      </c>
      <c r="K878" s="157">
        <v>0</v>
      </c>
      <c r="L878" s="285">
        <v>0</v>
      </c>
      <c r="M878" s="285"/>
    </row>
    <row r="879" spans="1:13">
      <c r="A879" s="63"/>
      <c r="B879" s="64"/>
      <c r="C879" s="65" t="s">
        <v>45</v>
      </c>
      <c r="D879" s="66">
        <f>SUM(D878)</f>
        <v>50000000</v>
      </c>
      <c r="E879" s="66">
        <v>0</v>
      </c>
      <c r="F879" s="66">
        <v>0</v>
      </c>
      <c r="G879" s="122">
        <v>0</v>
      </c>
      <c r="H879" s="66">
        <v>0</v>
      </c>
      <c r="I879" s="122">
        <v>0</v>
      </c>
      <c r="J879" s="66">
        <v>0</v>
      </c>
      <c r="K879" s="66">
        <f>SUM(K878)</f>
        <v>0</v>
      </c>
      <c r="L879" s="66">
        <v>0</v>
      </c>
      <c r="M879" s="66"/>
    </row>
    <row r="880" spans="1:13">
      <c r="A880" s="44">
        <v>24</v>
      </c>
      <c r="B880" s="104" t="s">
        <v>221</v>
      </c>
      <c r="C880" s="105"/>
      <c r="D880" s="70"/>
      <c r="E880" s="70"/>
      <c r="F880" s="70"/>
      <c r="G880" s="287"/>
      <c r="H880" s="70"/>
      <c r="I880" s="287"/>
      <c r="J880" s="70"/>
      <c r="K880" s="70"/>
      <c r="L880" s="70"/>
      <c r="M880" s="70"/>
    </row>
    <row r="881" spans="1:14">
      <c r="A881" s="44"/>
      <c r="B881" s="283" t="s">
        <v>83</v>
      </c>
      <c r="C881" s="284" t="s">
        <v>222</v>
      </c>
      <c r="D881" s="288">
        <v>50000000</v>
      </c>
      <c r="E881" s="285">
        <v>0</v>
      </c>
      <c r="F881" s="285">
        <v>0</v>
      </c>
      <c r="G881" s="286">
        <v>0</v>
      </c>
      <c r="H881" s="285">
        <v>0</v>
      </c>
      <c r="I881" s="286">
        <v>0</v>
      </c>
      <c r="J881" s="285">
        <v>0</v>
      </c>
      <c r="K881" s="157">
        <v>0</v>
      </c>
      <c r="L881" s="285">
        <v>0</v>
      </c>
      <c r="M881" s="285"/>
    </row>
    <row r="882" spans="1:14">
      <c r="A882" s="63"/>
      <c r="B882" s="64"/>
      <c r="C882" s="65" t="s">
        <v>45</v>
      </c>
      <c r="D882" s="66">
        <f>SUM(D881)</f>
        <v>50000000</v>
      </c>
      <c r="E882" s="66">
        <v>0</v>
      </c>
      <c r="F882" s="66">
        <v>0</v>
      </c>
      <c r="G882" s="122">
        <v>0</v>
      </c>
      <c r="H882" s="66">
        <v>0</v>
      </c>
      <c r="I882" s="122">
        <v>0</v>
      </c>
      <c r="J882" s="66">
        <v>0</v>
      </c>
      <c r="K882" s="66">
        <f>SUM(K881)</f>
        <v>0</v>
      </c>
      <c r="L882" s="66">
        <v>0</v>
      </c>
      <c r="M882" s="66"/>
    </row>
    <row r="883" spans="1:14" ht="15.75" thickBot="1">
      <c r="A883" s="166"/>
      <c r="B883" s="167" t="s">
        <v>85</v>
      </c>
      <c r="C883" s="106"/>
      <c r="D883" s="107">
        <f>D777+D774</f>
        <v>3251325000</v>
      </c>
      <c r="E883" s="107">
        <f>E777+E774</f>
        <v>0</v>
      </c>
      <c r="F883" s="107">
        <f>F777+F774</f>
        <v>0</v>
      </c>
      <c r="G883" s="107">
        <f>G774+G777</f>
        <v>1780126506</v>
      </c>
      <c r="H883" s="213">
        <f>G883/D883*100</f>
        <v>54.750801780812438</v>
      </c>
      <c r="I883" s="107">
        <f>I777+I774</f>
        <v>1780126506</v>
      </c>
      <c r="J883" s="213">
        <f>I883/D883*100</f>
        <v>54.750801780812438</v>
      </c>
      <c r="K883" s="425">
        <f>7/12</f>
        <v>0.58333333333333337</v>
      </c>
      <c r="L883" s="213">
        <f>J883</f>
        <v>54.750801780812438</v>
      </c>
      <c r="M883" s="158"/>
      <c r="N883" s="161">
        <f>D883-G883</f>
        <v>1471198494</v>
      </c>
    </row>
    <row r="884" spans="1:14" ht="15.75" thickTop="1">
      <c r="A884" s="342"/>
      <c r="B884" s="343"/>
      <c r="C884" s="344"/>
      <c r="D884" s="345"/>
      <c r="E884" s="345"/>
      <c r="F884" s="345"/>
      <c r="G884" s="527"/>
      <c r="H884" s="529"/>
      <c r="I884" s="345"/>
      <c r="J884" s="346"/>
      <c r="K884" s="347"/>
      <c r="L884" s="346"/>
      <c r="M884" s="348"/>
    </row>
    <row r="885" spans="1:14">
      <c r="A885" s="168"/>
      <c r="B885" s="169"/>
      <c r="C885" s="170"/>
      <c r="D885" s="171"/>
      <c r="E885" s="108"/>
      <c r="G885" s="526"/>
      <c r="H885" s="128"/>
      <c r="I885" s="159" t="s">
        <v>490</v>
      </c>
      <c r="J885" s="128"/>
      <c r="L885" s="128"/>
      <c r="M885" s="128"/>
    </row>
    <row r="886" spans="1:14">
      <c r="A886" s="172"/>
      <c r="B886" s="169"/>
      <c r="C886" s="173"/>
      <c r="D886" s="171"/>
      <c r="E886" s="174"/>
      <c r="H886" s="128"/>
      <c r="I886" s="159" t="s">
        <v>86</v>
      </c>
      <c r="J886" s="128"/>
      <c r="L886" s="128"/>
      <c r="M886" s="128"/>
    </row>
    <row r="887" spans="1:14">
      <c r="A887" s="172"/>
      <c r="B887" s="169"/>
      <c r="C887" s="173"/>
      <c r="D887" s="171"/>
      <c r="E887" s="174"/>
      <c r="H887" s="128"/>
      <c r="I887" s="159"/>
      <c r="J887" s="128"/>
      <c r="L887" s="128"/>
      <c r="M887" s="128"/>
    </row>
    <row r="888" spans="1:14">
      <c r="A888" s="172"/>
      <c r="B888" s="169"/>
      <c r="C888" s="173"/>
      <c r="D888" s="171"/>
      <c r="E888" s="108"/>
      <c r="H888" s="128"/>
      <c r="I888" s="159"/>
      <c r="J888" s="128"/>
      <c r="L888" s="128"/>
      <c r="M888" s="128"/>
    </row>
    <row r="889" spans="1:14">
      <c r="A889" s="175"/>
      <c r="B889" s="176"/>
      <c r="C889" s="177"/>
      <c r="D889" s="171"/>
      <c r="E889" s="108"/>
      <c r="G889" s="128" t="s">
        <v>227</v>
      </c>
      <c r="H889" s="128"/>
      <c r="I889" s="160" t="s">
        <v>120</v>
      </c>
      <c r="J889" s="128"/>
      <c r="L889" s="128"/>
      <c r="M889" s="128"/>
    </row>
    <row r="890" spans="1:14">
      <c r="A890" s="175"/>
      <c r="B890" s="176"/>
      <c r="C890" s="177"/>
      <c r="D890" s="175"/>
      <c r="E890" s="108"/>
      <c r="H890" s="128"/>
      <c r="I890" s="159" t="s">
        <v>491</v>
      </c>
      <c r="J890" s="128"/>
      <c r="L890" s="128"/>
      <c r="M890" s="128"/>
    </row>
    <row r="891" spans="1:14">
      <c r="A891" s="175"/>
      <c r="B891" s="176"/>
      <c r="C891" s="177"/>
      <c r="D891" s="175"/>
      <c r="E891" s="108"/>
      <c r="H891" s="128"/>
      <c r="I891" s="159" t="s">
        <v>121</v>
      </c>
      <c r="J891" s="128"/>
      <c r="L891" s="128"/>
      <c r="M891" s="128"/>
    </row>
    <row r="892" spans="1:14" ht="15.75">
      <c r="A892" s="832" t="s">
        <v>223</v>
      </c>
      <c r="B892" s="832"/>
      <c r="C892" s="832"/>
      <c r="D892" s="832"/>
      <c r="E892" s="832"/>
      <c r="F892" s="832"/>
      <c r="G892" s="832"/>
      <c r="H892" s="832"/>
      <c r="I892" s="832"/>
      <c r="J892" s="832"/>
      <c r="K892" s="832"/>
      <c r="L892" s="832"/>
      <c r="M892" s="832"/>
    </row>
    <row r="893" spans="1:14" ht="15.75">
      <c r="A893" s="832" t="s">
        <v>224</v>
      </c>
      <c r="B893" s="832"/>
      <c r="C893" s="832"/>
      <c r="D893" s="832"/>
      <c r="E893" s="832"/>
      <c r="F893" s="832"/>
      <c r="G893" s="832"/>
      <c r="H893" s="832"/>
      <c r="I893" s="832"/>
      <c r="J893" s="832"/>
      <c r="K893" s="832"/>
      <c r="L893" s="832"/>
      <c r="M893" s="832"/>
    </row>
    <row r="894" spans="1:14" ht="15.75">
      <c r="A894" s="541"/>
      <c r="B894" s="541"/>
      <c r="C894" s="541"/>
      <c r="D894" s="541"/>
      <c r="E894" s="541"/>
      <c r="F894" s="541"/>
      <c r="G894" s="303"/>
      <c r="H894" s="541"/>
      <c r="I894" s="541"/>
      <c r="J894" s="541"/>
      <c r="K894" s="303"/>
      <c r="L894" s="541"/>
      <c r="M894" s="541"/>
    </row>
    <row r="895" spans="1:14" ht="16.5">
      <c r="A895" s="1" t="s">
        <v>213</v>
      </c>
      <c r="B895" s="2"/>
      <c r="C895" s="3" t="s">
        <v>2</v>
      </c>
      <c r="E895" s="108"/>
      <c r="G895" s="304"/>
      <c r="H895" s="4"/>
      <c r="I895" s="5"/>
      <c r="J895" s="4"/>
      <c r="M895" s="4"/>
    </row>
    <row r="896" spans="1:14" ht="21.75" customHeight="1" thickBot="1">
      <c r="A896" s="14" t="s">
        <v>225</v>
      </c>
      <c r="B896" s="14"/>
      <c r="C896" s="292" t="s">
        <v>534</v>
      </c>
      <c r="D896" s="129"/>
      <c r="E896" s="109"/>
      <c r="F896" s="129"/>
      <c r="G896" s="305"/>
      <c r="H896" s="14"/>
      <c r="I896" s="16"/>
      <c r="J896" s="14"/>
      <c r="K896" s="129"/>
      <c r="L896" s="15"/>
      <c r="M896" s="14"/>
    </row>
    <row r="897" spans="1:15" ht="15.75" thickTop="1">
      <c r="A897" s="833" t="s">
        <v>3</v>
      </c>
      <c r="B897" s="836" t="s">
        <v>4</v>
      </c>
      <c r="C897" s="837"/>
      <c r="D897" s="289" t="s">
        <v>5</v>
      </c>
      <c r="E897" s="110" t="s">
        <v>6</v>
      </c>
      <c r="F897" s="130"/>
      <c r="G897" s="842" t="s">
        <v>7</v>
      </c>
      <c r="H897" s="843"/>
      <c r="I897" s="843"/>
      <c r="J897" s="843"/>
      <c r="K897" s="844" t="s">
        <v>8</v>
      </c>
      <c r="L897" s="844"/>
      <c r="M897" s="833" t="s">
        <v>9</v>
      </c>
    </row>
    <row r="898" spans="1:15">
      <c r="A898" s="834"/>
      <c r="B898" s="838"/>
      <c r="C898" s="839"/>
      <c r="D898" s="290" t="s">
        <v>10</v>
      </c>
      <c r="E898" s="111" t="s">
        <v>11</v>
      </c>
      <c r="F898" s="111" t="s">
        <v>12</v>
      </c>
      <c r="G898" s="111" t="s">
        <v>13</v>
      </c>
      <c r="H898" s="845" t="s">
        <v>14</v>
      </c>
      <c r="I898" s="6" t="s">
        <v>15</v>
      </c>
      <c r="J898" s="846" t="s">
        <v>14</v>
      </c>
      <c r="K898" s="321" t="s">
        <v>16</v>
      </c>
      <c r="L898" s="7" t="s">
        <v>17</v>
      </c>
      <c r="M898" s="834"/>
    </row>
    <row r="899" spans="1:15">
      <c r="A899" s="835"/>
      <c r="B899" s="840"/>
      <c r="C899" s="841"/>
      <c r="D899" s="291" t="s">
        <v>18</v>
      </c>
      <c r="E899" s="112" t="s">
        <v>18</v>
      </c>
      <c r="F899" s="112"/>
      <c r="G899" s="306" t="s">
        <v>19</v>
      </c>
      <c r="H899" s="835"/>
      <c r="I899" s="8" t="s">
        <v>19</v>
      </c>
      <c r="J899" s="847"/>
      <c r="K899" s="322" t="s">
        <v>233</v>
      </c>
      <c r="L899" s="9" t="s">
        <v>233</v>
      </c>
      <c r="M899" s="835"/>
    </row>
    <row r="900" spans="1:15" ht="15.75" thickBot="1">
      <c r="A900" s="17">
        <v>1</v>
      </c>
      <c r="B900" s="828">
        <v>2</v>
      </c>
      <c r="C900" s="829"/>
      <c r="D900" s="113">
        <v>3</v>
      </c>
      <c r="E900" s="113">
        <v>4</v>
      </c>
      <c r="F900" s="113">
        <v>5</v>
      </c>
      <c r="G900" s="113">
        <v>6</v>
      </c>
      <c r="H900" s="18">
        <v>7</v>
      </c>
      <c r="I900" s="18">
        <v>8</v>
      </c>
      <c r="J900" s="18">
        <v>9</v>
      </c>
      <c r="K900" s="113">
        <v>10</v>
      </c>
      <c r="L900" s="18">
        <v>11</v>
      </c>
      <c r="M900" s="18">
        <v>12</v>
      </c>
    </row>
    <row r="901" spans="1:15" ht="15.75" thickBot="1">
      <c r="A901" s="35" t="s">
        <v>20</v>
      </c>
      <c r="B901" s="36" t="s">
        <v>21</v>
      </c>
      <c r="C901" s="37"/>
      <c r="D901" s="30">
        <f>D902+D903</f>
        <v>2257113000</v>
      </c>
      <c r="E901" s="30">
        <f>E902</f>
        <v>0</v>
      </c>
      <c r="F901" s="30">
        <v>0</v>
      </c>
      <c r="G901" s="30">
        <f>G902+G903</f>
        <v>1315922132</v>
      </c>
      <c r="H901" s="214">
        <f>G901/D901*100</f>
        <v>58.301118818597033</v>
      </c>
      <c r="I901" s="30">
        <f>G901</f>
        <v>1315922132</v>
      </c>
      <c r="J901" s="217">
        <f>I901/D901*100</f>
        <v>58.301118818597033</v>
      </c>
      <c r="K901" s="332">
        <f>7/12</f>
        <v>0.58333333333333337</v>
      </c>
      <c r="L901" s="215">
        <f>J901</f>
        <v>58.301118818597033</v>
      </c>
      <c r="M901" s="53"/>
    </row>
    <row r="902" spans="1:15" ht="15.75" thickBot="1">
      <c r="A902" s="38" t="s">
        <v>22</v>
      </c>
      <c r="B902" s="39" t="s">
        <v>23</v>
      </c>
      <c r="C902" s="40"/>
      <c r="D902" s="31">
        <v>1872153000</v>
      </c>
      <c r="E902" s="114">
        <v>0</v>
      </c>
      <c r="F902" s="30">
        <v>0</v>
      </c>
      <c r="G902" s="30">
        <v>1115572132</v>
      </c>
      <c r="H902" s="214">
        <f>G902/D902*100</f>
        <v>59.587658273656054</v>
      </c>
      <c r="I902" s="296">
        <f>G902</f>
        <v>1115572132</v>
      </c>
      <c r="J902" s="217">
        <f>I902/D902*100</f>
        <v>59.587658273656054</v>
      </c>
      <c r="K902" s="332">
        <f>7/12</f>
        <v>0.58333333333333337</v>
      </c>
      <c r="L902" s="215">
        <f>J902</f>
        <v>59.587658273656054</v>
      </c>
      <c r="M902" s="146"/>
    </row>
    <row r="903" spans="1:15" ht="15.75" thickBot="1">
      <c r="A903" s="139"/>
      <c r="B903" s="140" t="s">
        <v>107</v>
      </c>
      <c r="C903" s="141"/>
      <c r="D903" s="31">
        <v>384960000</v>
      </c>
      <c r="E903" s="114">
        <v>0</v>
      </c>
      <c r="F903" s="30">
        <v>0</v>
      </c>
      <c r="G903" s="351">
        <v>200350000</v>
      </c>
      <c r="H903" s="214">
        <f>G903/D903*100</f>
        <v>52.04436824605154</v>
      </c>
      <c r="I903" s="296">
        <f>G903</f>
        <v>200350000</v>
      </c>
      <c r="J903" s="217">
        <f>I903/D903*100</f>
        <v>52.04436824605154</v>
      </c>
      <c r="K903" s="332">
        <f>7/12</f>
        <v>0.58333333333333337</v>
      </c>
      <c r="L903" s="215">
        <f>J903</f>
        <v>52.04436824605154</v>
      </c>
      <c r="M903" s="149"/>
      <c r="N903" s="161">
        <f>D903-G903</f>
        <v>184610000</v>
      </c>
    </row>
    <row r="904" spans="1:15" ht="15.75" thickBot="1">
      <c r="A904" s="35" t="s">
        <v>24</v>
      </c>
      <c r="B904" s="36" t="s">
        <v>25</v>
      </c>
      <c r="C904" s="37"/>
      <c r="D904" s="30">
        <f>D921+D931+D934+D938+D941+D944+D950+D953+D957+D960+D964+D967+D970+D973+D977+D980+D983+D988+D992+D995+D1000+D1003+D1006+D1009</f>
        <v>994212000</v>
      </c>
      <c r="E904" s="30">
        <v>0</v>
      </c>
      <c r="F904" s="30">
        <v>0</v>
      </c>
      <c r="G904" s="30">
        <f>G921+G931+G960+G964+G980+G983+G970+G973+G977+G992+G944+G957+G988+G941+G938+G967+G953</f>
        <v>632467501</v>
      </c>
      <c r="H904" s="215">
        <f>G904/D904*100</f>
        <v>63.61495345057191</v>
      </c>
      <c r="I904" s="296">
        <f>G904</f>
        <v>632467501</v>
      </c>
      <c r="J904" s="217">
        <f>I904/D904*100</f>
        <v>63.61495345057191</v>
      </c>
      <c r="K904" s="332">
        <f>7/12</f>
        <v>0.58333333333333337</v>
      </c>
      <c r="L904" s="215">
        <f>J904</f>
        <v>63.61495345057191</v>
      </c>
      <c r="M904" s="30"/>
      <c r="N904" s="161">
        <f>D904-G904</f>
        <v>361744499</v>
      </c>
      <c r="O904" s="544">
        <v>61999930</v>
      </c>
    </row>
    <row r="905" spans="1:15">
      <c r="A905" s="41" t="s">
        <v>26</v>
      </c>
      <c r="B905" s="42" t="s">
        <v>27</v>
      </c>
      <c r="C905" s="43"/>
      <c r="D905" s="32"/>
      <c r="E905" s="115"/>
      <c r="F905" s="32"/>
      <c r="G905" s="150"/>
      <c r="H905" s="151"/>
      <c r="I905" s="191"/>
      <c r="J905" s="150"/>
      <c r="K905" s="32"/>
      <c r="L905" s="32"/>
      <c r="M905" s="32"/>
      <c r="N905" s="161">
        <f t="shared" ref="N905:N968" si="331">D905-G905</f>
        <v>0</v>
      </c>
      <c r="O905" s="544">
        <f>N904-O904</f>
        <v>299744569</v>
      </c>
    </row>
    <row r="906" spans="1:15">
      <c r="A906" s="44"/>
      <c r="B906" s="45" t="s">
        <v>26</v>
      </c>
      <c r="C906" s="46" t="s">
        <v>28</v>
      </c>
      <c r="D906" s="525">
        <v>6000000</v>
      </c>
      <c r="E906" s="116">
        <v>0</v>
      </c>
      <c r="F906" s="131">
        <v>0</v>
      </c>
      <c r="G906" s="192">
        <f>999000+501000+250000+250000+250000+250000</f>
        <v>2500000</v>
      </c>
      <c r="H906" s="299">
        <f>G906/D906*100</f>
        <v>41.666666666666671</v>
      </c>
      <c r="I906" s="192">
        <f>G906</f>
        <v>2500000</v>
      </c>
      <c r="J906" s="301">
        <f>H906</f>
        <v>41.666666666666671</v>
      </c>
      <c r="K906" s="331">
        <f>8/12</f>
        <v>0.66666666666666663</v>
      </c>
      <c r="L906" s="311">
        <f>J906</f>
        <v>41.666666666666671</v>
      </c>
      <c r="M906" s="131"/>
      <c r="N906" s="161">
        <f t="shared" si="331"/>
        <v>3500000</v>
      </c>
    </row>
    <row r="907" spans="1:15">
      <c r="A907" s="44"/>
      <c r="B907" s="47" t="s">
        <v>29</v>
      </c>
      <c r="C907" s="48" t="s">
        <v>30</v>
      </c>
      <c r="D907" s="34">
        <v>8000000</v>
      </c>
      <c r="E907" s="297">
        <v>0</v>
      </c>
      <c r="F907" s="132">
        <v>0</v>
      </c>
      <c r="G907" s="192">
        <v>1714879</v>
      </c>
      <c r="H907" s="299">
        <f t="shared" ref="H907:H908" si="332">G907/D907*100</f>
        <v>21.4359875</v>
      </c>
      <c r="I907" s="192">
        <f>G907</f>
        <v>1714879</v>
      </c>
      <c r="J907" s="301">
        <f>I907/D907*100</f>
        <v>21.4359875</v>
      </c>
      <c r="K907" s="331">
        <f t="shared" ref="K907:K919" si="333">8/12</f>
        <v>0.66666666666666663</v>
      </c>
      <c r="L907" s="311">
        <f t="shared" ref="L907:L920" si="334">J907</f>
        <v>21.4359875</v>
      </c>
      <c r="M907" s="132"/>
      <c r="N907" s="161">
        <f t="shared" si="331"/>
        <v>6285121</v>
      </c>
    </row>
    <row r="908" spans="1:15">
      <c r="A908" s="44"/>
      <c r="B908" s="47" t="s">
        <v>29</v>
      </c>
      <c r="C908" s="48" t="s">
        <v>31</v>
      </c>
      <c r="D908" s="34">
        <v>5000000</v>
      </c>
      <c r="E908" s="297">
        <v>0</v>
      </c>
      <c r="F908" s="132">
        <v>0</v>
      </c>
      <c r="G908" s="192">
        <v>2097850</v>
      </c>
      <c r="H908" s="299">
        <f t="shared" si="332"/>
        <v>41.957000000000001</v>
      </c>
      <c r="I908" s="192">
        <f t="shared" ref="I908:I909" si="335">G908</f>
        <v>2097850</v>
      </c>
      <c r="J908" s="301">
        <f t="shared" ref="J908:J917" si="336">I908/D908*100</f>
        <v>41.957000000000001</v>
      </c>
      <c r="K908" s="331">
        <f t="shared" si="333"/>
        <v>0.66666666666666663</v>
      </c>
      <c r="L908" s="311">
        <f t="shared" si="334"/>
        <v>41.957000000000001</v>
      </c>
      <c r="M908" s="132"/>
      <c r="N908" s="161">
        <f t="shared" si="331"/>
        <v>2902150</v>
      </c>
    </row>
    <row r="909" spans="1:15">
      <c r="A909" s="44"/>
      <c r="B909" s="47" t="s">
        <v>29</v>
      </c>
      <c r="C909" s="48" t="s">
        <v>32</v>
      </c>
      <c r="D909" s="34">
        <v>12000000</v>
      </c>
      <c r="E909" s="297">
        <v>0</v>
      </c>
      <c r="F909" s="132">
        <v>0</v>
      </c>
      <c r="G909" s="192">
        <v>4348672</v>
      </c>
      <c r="H909" s="299">
        <f>G909/D909*100</f>
        <v>36.238933333333335</v>
      </c>
      <c r="I909" s="192">
        <f t="shared" si="335"/>
        <v>4348672</v>
      </c>
      <c r="J909" s="301">
        <f t="shared" si="336"/>
        <v>36.238933333333335</v>
      </c>
      <c r="K909" s="331">
        <f t="shared" si="333"/>
        <v>0.66666666666666663</v>
      </c>
      <c r="L909" s="311">
        <f t="shared" si="334"/>
        <v>36.238933333333335</v>
      </c>
      <c r="M909" s="132"/>
      <c r="N909" s="161">
        <f t="shared" si="331"/>
        <v>7651328</v>
      </c>
    </row>
    <row r="910" spans="1:15">
      <c r="A910" s="44"/>
      <c r="B910" s="47" t="s">
        <v>33</v>
      </c>
      <c r="C910" s="48" t="s">
        <v>34</v>
      </c>
      <c r="D910" s="34">
        <v>12105000</v>
      </c>
      <c r="E910" s="117">
        <v>0</v>
      </c>
      <c r="F910" s="132">
        <v>0</v>
      </c>
      <c r="G910" s="192">
        <v>7000000</v>
      </c>
      <c r="H910" s="299">
        <f t="shared" ref="H910:H920" si="337">G910/D910*100</f>
        <v>57.82734407269723</v>
      </c>
      <c r="I910" s="192">
        <f>G910</f>
        <v>7000000</v>
      </c>
      <c r="J910" s="301">
        <f t="shared" si="336"/>
        <v>57.82734407269723</v>
      </c>
      <c r="K910" s="331">
        <f t="shared" si="333"/>
        <v>0.66666666666666663</v>
      </c>
      <c r="L910" s="311">
        <f t="shared" si="334"/>
        <v>57.82734407269723</v>
      </c>
      <c r="M910" s="132"/>
      <c r="N910" s="161">
        <f t="shared" si="331"/>
        <v>5105000</v>
      </c>
    </row>
    <row r="911" spans="1:15">
      <c r="A911" s="44"/>
      <c r="B911" s="47">
        <v>10</v>
      </c>
      <c r="C911" s="48" t="s">
        <v>35</v>
      </c>
      <c r="D911" s="34">
        <v>11895000</v>
      </c>
      <c r="E911" s="117">
        <v>0</v>
      </c>
      <c r="F911" s="132">
        <v>0</v>
      </c>
      <c r="G911" s="192">
        <f>1500000+1000000+1000000+2250000+1000000</f>
        <v>6750000</v>
      </c>
      <c r="H911" s="299">
        <f t="shared" si="337"/>
        <v>56.746532156368225</v>
      </c>
      <c r="I911" s="192">
        <f t="shared" ref="I911:I914" si="338">G911</f>
        <v>6750000</v>
      </c>
      <c r="J911" s="301">
        <f t="shared" si="336"/>
        <v>56.746532156368225</v>
      </c>
      <c r="K911" s="331">
        <f t="shared" si="333"/>
        <v>0.66666666666666663</v>
      </c>
      <c r="L911" s="311">
        <f t="shared" si="334"/>
        <v>56.746532156368225</v>
      </c>
      <c r="M911" s="132"/>
      <c r="N911" s="161">
        <f t="shared" si="331"/>
        <v>5145000</v>
      </c>
    </row>
    <row r="912" spans="1:15">
      <c r="A912" s="44"/>
      <c r="B912" s="47">
        <v>11</v>
      </c>
      <c r="C912" s="48" t="s">
        <v>36</v>
      </c>
      <c r="D912" s="34">
        <v>6000000</v>
      </c>
      <c r="E912" s="117">
        <v>0</v>
      </c>
      <c r="F912" s="132">
        <v>0</v>
      </c>
      <c r="G912" s="192">
        <f>1000000+500000+750000+1700000+200000</f>
        <v>4150000</v>
      </c>
      <c r="H912" s="299">
        <f t="shared" si="337"/>
        <v>69.166666666666671</v>
      </c>
      <c r="I912" s="192">
        <f t="shared" si="338"/>
        <v>4150000</v>
      </c>
      <c r="J912" s="301">
        <f t="shared" si="336"/>
        <v>69.166666666666671</v>
      </c>
      <c r="K912" s="331">
        <f t="shared" si="333"/>
        <v>0.66666666666666663</v>
      </c>
      <c r="L912" s="311">
        <f t="shared" si="334"/>
        <v>69.166666666666671</v>
      </c>
      <c r="M912" s="132"/>
      <c r="N912" s="161">
        <f t="shared" si="331"/>
        <v>1850000</v>
      </c>
    </row>
    <row r="913" spans="1:14">
      <c r="A913" s="44"/>
      <c r="B913" s="47">
        <v>11</v>
      </c>
      <c r="C913" s="48" t="s">
        <v>37</v>
      </c>
      <c r="D913" s="34">
        <v>18000000</v>
      </c>
      <c r="E913" s="117">
        <v>0</v>
      </c>
      <c r="F913" s="132">
        <v>0</v>
      </c>
      <c r="G913" s="192">
        <f>2525600+17850+34600+34000+2524800+370000</f>
        <v>5506850</v>
      </c>
      <c r="H913" s="299">
        <f t="shared" si="337"/>
        <v>30.593611111111112</v>
      </c>
      <c r="I913" s="192">
        <f t="shared" si="338"/>
        <v>5506850</v>
      </c>
      <c r="J913" s="301">
        <f t="shared" si="336"/>
        <v>30.593611111111112</v>
      </c>
      <c r="K913" s="331">
        <f t="shared" si="333"/>
        <v>0.66666666666666663</v>
      </c>
      <c r="L913" s="311">
        <f t="shared" si="334"/>
        <v>30.593611111111112</v>
      </c>
      <c r="M913" s="132"/>
      <c r="N913" s="161">
        <f t="shared" si="331"/>
        <v>12493150</v>
      </c>
    </row>
    <row r="914" spans="1:14">
      <c r="A914" s="44"/>
      <c r="B914" s="47">
        <v>12</v>
      </c>
      <c r="C914" s="48" t="s">
        <v>38</v>
      </c>
      <c r="D914" s="34">
        <v>5000000</v>
      </c>
      <c r="E914" s="117">
        <v>0</v>
      </c>
      <c r="F914" s="132">
        <v>0</v>
      </c>
      <c r="G914" s="192">
        <v>3025000</v>
      </c>
      <c r="H914" s="299">
        <f t="shared" si="337"/>
        <v>60.5</v>
      </c>
      <c r="I914" s="192">
        <f t="shared" si="338"/>
        <v>3025000</v>
      </c>
      <c r="J914" s="301">
        <f t="shared" si="336"/>
        <v>60.5</v>
      </c>
      <c r="K914" s="331">
        <f t="shared" si="333"/>
        <v>0.66666666666666663</v>
      </c>
      <c r="L914" s="311">
        <f t="shared" si="334"/>
        <v>60.5</v>
      </c>
      <c r="M914" s="132"/>
      <c r="N914" s="161">
        <f t="shared" si="331"/>
        <v>1975000</v>
      </c>
    </row>
    <row r="915" spans="1:14">
      <c r="A915" s="44"/>
      <c r="B915" s="47">
        <v>13</v>
      </c>
      <c r="C915" s="48" t="s">
        <v>39</v>
      </c>
      <c r="D915" s="34">
        <v>5000000</v>
      </c>
      <c r="E915" s="117">
        <v>0</v>
      </c>
      <c r="F915" s="132">
        <v>0</v>
      </c>
      <c r="G915" s="192">
        <f>1000000+250000+500000+745000+750000</f>
        <v>3245000</v>
      </c>
      <c r="H915" s="299">
        <f t="shared" si="337"/>
        <v>64.900000000000006</v>
      </c>
      <c r="I915" s="192">
        <f>G915</f>
        <v>3245000</v>
      </c>
      <c r="J915" s="301">
        <f t="shared" si="336"/>
        <v>64.900000000000006</v>
      </c>
      <c r="K915" s="331">
        <f t="shared" si="333"/>
        <v>0.66666666666666663</v>
      </c>
      <c r="L915" s="311">
        <f t="shared" si="334"/>
        <v>64.900000000000006</v>
      </c>
      <c r="M915" s="132"/>
      <c r="N915" s="161">
        <f t="shared" si="331"/>
        <v>1755000</v>
      </c>
    </row>
    <row r="916" spans="1:14">
      <c r="A916" s="44"/>
      <c r="B916" s="47">
        <v>15</v>
      </c>
      <c r="C916" s="48" t="s">
        <v>40</v>
      </c>
      <c r="D916" s="34">
        <v>3000000</v>
      </c>
      <c r="E916" s="117">
        <v>0</v>
      </c>
      <c r="F916" s="132">
        <v>0</v>
      </c>
      <c r="G916" s="192">
        <f>260000+140000+260000+140000+120000</f>
        <v>920000</v>
      </c>
      <c r="H916" s="299">
        <f t="shared" si="337"/>
        <v>30.666666666666664</v>
      </c>
      <c r="I916" s="192">
        <f t="shared" ref="I916:I917" si="339">G916</f>
        <v>920000</v>
      </c>
      <c r="J916" s="301">
        <f t="shared" si="336"/>
        <v>30.666666666666664</v>
      </c>
      <c r="K916" s="331">
        <f t="shared" si="333"/>
        <v>0.66666666666666663</v>
      </c>
      <c r="L916" s="311">
        <f t="shared" si="334"/>
        <v>30.666666666666664</v>
      </c>
      <c r="M916" s="132"/>
      <c r="N916" s="161">
        <f t="shared" si="331"/>
        <v>2080000</v>
      </c>
    </row>
    <row r="917" spans="1:14">
      <c r="A917" s="44"/>
      <c r="B917" s="47">
        <v>17</v>
      </c>
      <c r="C917" s="48" t="s">
        <v>41</v>
      </c>
      <c r="D917" s="34">
        <v>5000000</v>
      </c>
      <c r="E917" s="117">
        <v>0</v>
      </c>
      <c r="F917" s="132">
        <v>0</v>
      </c>
      <c r="G917" s="192">
        <f>1000000+250000+750000+650000</f>
        <v>2650000</v>
      </c>
      <c r="H917" s="299">
        <f t="shared" si="337"/>
        <v>53</v>
      </c>
      <c r="I917" s="192">
        <f t="shared" si="339"/>
        <v>2650000</v>
      </c>
      <c r="J917" s="301">
        <f t="shared" si="336"/>
        <v>53</v>
      </c>
      <c r="K917" s="331">
        <f t="shared" si="333"/>
        <v>0.66666666666666663</v>
      </c>
      <c r="L917" s="311">
        <f t="shared" si="334"/>
        <v>53</v>
      </c>
      <c r="M917" s="132"/>
      <c r="N917" s="161">
        <f t="shared" si="331"/>
        <v>2350000</v>
      </c>
    </row>
    <row r="918" spans="1:14">
      <c r="A918" s="44"/>
      <c r="B918" s="47">
        <v>17</v>
      </c>
      <c r="C918" s="48" t="s">
        <v>42</v>
      </c>
      <c r="D918" s="34">
        <v>7000000</v>
      </c>
      <c r="E918" s="117">
        <v>0</v>
      </c>
      <c r="F918" s="132">
        <v>0</v>
      </c>
      <c r="G918" s="192">
        <f>1200000+400000+1800000+760000</f>
        <v>4160000</v>
      </c>
      <c r="H918" s="299">
        <f t="shared" si="337"/>
        <v>59.428571428571431</v>
      </c>
      <c r="I918" s="192">
        <f>G918</f>
        <v>4160000</v>
      </c>
      <c r="J918" s="301">
        <f>I918/D918*100</f>
        <v>59.428571428571431</v>
      </c>
      <c r="K918" s="331">
        <f t="shared" si="333"/>
        <v>0.66666666666666663</v>
      </c>
      <c r="L918" s="311">
        <f t="shared" si="334"/>
        <v>59.428571428571431</v>
      </c>
      <c r="M918" s="132"/>
      <c r="N918" s="161">
        <f t="shared" si="331"/>
        <v>2840000</v>
      </c>
    </row>
    <row r="919" spans="1:14">
      <c r="A919" s="44"/>
      <c r="B919" s="47">
        <v>18</v>
      </c>
      <c r="C919" s="48" t="s">
        <v>43</v>
      </c>
      <c r="D919" s="34">
        <v>15000000</v>
      </c>
      <c r="E919" s="117">
        <v>0</v>
      </c>
      <c r="F919" s="132">
        <v>0</v>
      </c>
      <c r="G919" s="192">
        <f>1450000+375000+1525000+2900000+200000+1600000</f>
        <v>8050000</v>
      </c>
      <c r="H919" s="299">
        <f t="shared" si="337"/>
        <v>53.666666666666664</v>
      </c>
      <c r="I919" s="192">
        <f>G919</f>
        <v>8050000</v>
      </c>
      <c r="J919" s="301">
        <f t="shared" ref="J919:J920" si="340">I919/D919*100</f>
        <v>53.666666666666664</v>
      </c>
      <c r="K919" s="331">
        <f t="shared" si="333"/>
        <v>0.66666666666666663</v>
      </c>
      <c r="L919" s="311">
        <f t="shared" si="334"/>
        <v>53.666666666666664</v>
      </c>
      <c r="M919" s="132"/>
      <c r="N919" s="161">
        <f t="shared" si="331"/>
        <v>6950000</v>
      </c>
    </row>
    <row r="920" spans="1:14" ht="15.75" thickBot="1">
      <c r="A920" s="44"/>
      <c r="B920" s="49">
        <v>19</v>
      </c>
      <c r="C920" s="50" t="s">
        <v>44</v>
      </c>
      <c r="D920" s="51">
        <v>51212000</v>
      </c>
      <c r="E920" s="298"/>
      <c r="F920" s="133">
        <v>0</v>
      </c>
      <c r="G920" s="192">
        <v>28605000</v>
      </c>
      <c r="H920" s="300">
        <f t="shared" si="337"/>
        <v>55.856049363430451</v>
      </c>
      <c r="I920" s="192">
        <f t="shared" ref="I920" si="341">G920</f>
        <v>28605000</v>
      </c>
      <c r="J920" s="301">
        <f t="shared" si="340"/>
        <v>55.856049363430451</v>
      </c>
      <c r="K920" s="331">
        <f>8/12</f>
        <v>0.66666666666666663</v>
      </c>
      <c r="L920" s="311">
        <f t="shared" si="334"/>
        <v>55.856049363430451</v>
      </c>
      <c r="M920" s="133"/>
      <c r="N920" s="161">
        <f t="shared" si="331"/>
        <v>22607000</v>
      </c>
    </row>
    <row r="921" spans="1:14" ht="15.75" thickBot="1">
      <c r="A921" s="35"/>
      <c r="B921" s="52"/>
      <c r="C921" s="37" t="s">
        <v>45</v>
      </c>
      <c r="D921" s="53">
        <f>SUM(D906:D920)</f>
        <v>170212000</v>
      </c>
      <c r="E921" s="53">
        <f>SUM(E906:E920)</f>
        <v>0</v>
      </c>
      <c r="F921" s="53">
        <f t="shared" ref="F921" si="342">SUM(F906:F920)</f>
        <v>0</v>
      </c>
      <c r="G921" s="53">
        <f>SUM(G906:G920)</f>
        <v>84723251</v>
      </c>
      <c r="H921" s="214">
        <f>G921/D921*100</f>
        <v>49.775133950602779</v>
      </c>
      <c r="I921" s="194">
        <f t="shared" ref="I921" si="343">SUM(I906:I920)</f>
        <v>84723251</v>
      </c>
      <c r="J921" s="214">
        <f>I921/D921*100</f>
        <v>49.775133950602779</v>
      </c>
      <c r="K921" s="332">
        <f>8/12</f>
        <v>0.66666666666666663</v>
      </c>
      <c r="L921" s="214">
        <f>J921</f>
        <v>49.775133950602779</v>
      </c>
      <c r="M921" s="53"/>
      <c r="N921" s="161">
        <v>0</v>
      </c>
    </row>
    <row r="922" spans="1:14">
      <c r="A922" s="54" t="s">
        <v>29</v>
      </c>
      <c r="B922" s="55" t="s">
        <v>90</v>
      </c>
      <c r="C922" s="56"/>
      <c r="D922" s="57"/>
      <c r="E922" s="119"/>
      <c r="F922" s="131"/>
      <c r="G922" s="152"/>
      <c r="H922" s="152"/>
      <c r="I922" s="119"/>
      <c r="J922" s="152"/>
      <c r="K922" s="152"/>
      <c r="L922" s="152"/>
      <c r="M922" s="131"/>
      <c r="N922" s="161">
        <f t="shared" si="331"/>
        <v>0</v>
      </c>
    </row>
    <row r="923" spans="1:14">
      <c r="A923" s="279"/>
      <c r="B923" s="47" t="s">
        <v>53</v>
      </c>
      <c r="C923" s="46" t="s">
        <v>216</v>
      </c>
      <c r="D923" s="80">
        <v>40000000</v>
      </c>
      <c r="E923" s="119"/>
      <c r="F923" s="131"/>
      <c r="G923" s="152">
        <v>40000000</v>
      </c>
      <c r="H923" s="299">
        <f t="shared" ref="H923:H927" si="344">G923/D923*100</f>
        <v>100</v>
      </c>
      <c r="I923" s="119">
        <f>G923</f>
        <v>40000000</v>
      </c>
      <c r="J923" s="301">
        <f t="shared" ref="J923:J927" si="345">I923/D923*100</f>
        <v>100</v>
      </c>
      <c r="K923" s="331">
        <f>8/12</f>
        <v>0.66666666666666663</v>
      </c>
      <c r="L923" s="311">
        <f t="shared" ref="L923" si="346">J923</f>
        <v>100</v>
      </c>
      <c r="M923" s="131"/>
      <c r="N923" s="161">
        <f t="shared" si="331"/>
        <v>0</v>
      </c>
    </row>
    <row r="924" spans="1:14">
      <c r="A924" s="44"/>
      <c r="B924" s="47" t="s">
        <v>46</v>
      </c>
      <c r="C924" s="58" t="s">
        <v>110</v>
      </c>
      <c r="D924" s="59">
        <v>20000000</v>
      </c>
      <c r="E924" s="120">
        <v>0</v>
      </c>
      <c r="F924" s="132">
        <v>0</v>
      </c>
      <c r="G924" s="119">
        <v>14475000</v>
      </c>
      <c r="H924" s="299">
        <f t="shared" si="344"/>
        <v>72.375</v>
      </c>
      <c r="I924" s="119">
        <f>G924</f>
        <v>14475000</v>
      </c>
      <c r="J924" s="301">
        <f t="shared" si="345"/>
        <v>72.375</v>
      </c>
      <c r="K924" s="331">
        <f t="shared" ref="K924:K929" si="347">8/12</f>
        <v>0.66666666666666663</v>
      </c>
      <c r="L924" s="311">
        <f>J924</f>
        <v>72.375</v>
      </c>
      <c r="M924" s="132"/>
      <c r="N924" s="161">
        <f t="shared" si="331"/>
        <v>5525000</v>
      </c>
    </row>
    <row r="925" spans="1:14">
      <c r="A925" s="44"/>
      <c r="B925" s="47">
        <v>21</v>
      </c>
      <c r="C925" s="48" t="s">
        <v>47</v>
      </c>
      <c r="D925" s="59">
        <v>30000000</v>
      </c>
      <c r="E925" s="120">
        <v>0</v>
      </c>
      <c r="F925" s="132">
        <v>0</v>
      </c>
      <c r="G925" s="206">
        <v>30000000</v>
      </c>
      <c r="H925" s="299">
        <f t="shared" si="344"/>
        <v>100</v>
      </c>
      <c r="I925" s="119">
        <f t="shared" ref="I925:I926" si="348">G925</f>
        <v>30000000</v>
      </c>
      <c r="J925" s="301">
        <f t="shared" si="345"/>
        <v>100</v>
      </c>
      <c r="K925" s="331">
        <f t="shared" si="347"/>
        <v>0.66666666666666663</v>
      </c>
      <c r="L925" s="311">
        <f>J925</f>
        <v>100</v>
      </c>
      <c r="M925" s="132"/>
      <c r="N925" s="161">
        <f t="shared" si="331"/>
        <v>0</v>
      </c>
    </row>
    <row r="926" spans="1:14">
      <c r="A926" s="44"/>
      <c r="B926" s="47">
        <v>22</v>
      </c>
      <c r="C926" s="48" t="s">
        <v>48</v>
      </c>
      <c r="D926" s="60">
        <v>30000000</v>
      </c>
      <c r="E926" s="120">
        <v>0</v>
      </c>
      <c r="F926" s="132">
        <v>0</v>
      </c>
      <c r="G926" s="206">
        <v>30000000</v>
      </c>
      <c r="H926" s="299">
        <f t="shared" si="344"/>
        <v>100</v>
      </c>
      <c r="I926" s="119">
        <f t="shared" si="348"/>
        <v>30000000</v>
      </c>
      <c r="J926" s="301">
        <f t="shared" si="345"/>
        <v>100</v>
      </c>
      <c r="K926" s="331">
        <f t="shared" si="347"/>
        <v>0.66666666666666663</v>
      </c>
      <c r="L926" s="311">
        <f t="shared" ref="L926" si="349">J926</f>
        <v>100</v>
      </c>
      <c r="M926" s="154"/>
      <c r="N926" s="161">
        <f t="shared" si="331"/>
        <v>0</v>
      </c>
    </row>
    <row r="927" spans="1:14">
      <c r="A927" s="44"/>
      <c r="B927" s="47">
        <v>24</v>
      </c>
      <c r="C927" s="48" t="s">
        <v>49</v>
      </c>
      <c r="D927" s="60">
        <v>35000000</v>
      </c>
      <c r="E927" s="120">
        <v>0</v>
      </c>
      <c r="F927" s="132">
        <v>0</v>
      </c>
      <c r="G927" s="206">
        <f>6051250+1700000+2418000+4557000+2750000</f>
        <v>17476250</v>
      </c>
      <c r="H927" s="299">
        <f t="shared" si="344"/>
        <v>49.932142857142857</v>
      </c>
      <c r="I927" s="192">
        <f>G927</f>
        <v>17476250</v>
      </c>
      <c r="J927" s="301">
        <f t="shared" si="345"/>
        <v>49.932142857142857</v>
      </c>
      <c r="K927" s="331">
        <f t="shared" si="347"/>
        <v>0.66666666666666663</v>
      </c>
      <c r="L927" s="311">
        <f>J927</f>
        <v>49.932142857142857</v>
      </c>
      <c r="M927" s="132"/>
      <c r="N927" s="161">
        <f t="shared" si="331"/>
        <v>17523750</v>
      </c>
    </row>
    <row r="928" spans="1:14">
      <c r="A928" s="44"/>
      <c r="B928" s="47">
        <v>26</v>
      </c>
      <c r="C928" s="48" t="s">
        <v>50</v>
      </c>
      <c r="D928" s="60">
        <v>4000000</v>
      </c>
      <c r="E928" s="120">
        <v>0</v>
      </c>
      <c r="F928" s="132">
        <v>0</v>
      </c>
      <c r="G928" s="206">
        <v>2350000</v>
      </c>
      <c r="H928" s="299">
        <f>G928/D928*100</f>
        <v>58.75</v>
      </c>
      <c r="I928" s="192">
        <f>G928</f>
        <v>2350000</v>
      </c>
      <c r="J928" s="301">
        <f>I928/D928*100</f>
        <v>58.75</v>
      </c>
      <c r="K928" s="331">
        <f t="shared" si="347"/>
        <v>0.66666666666666663</v>
      </c>
      <c r="L928" s="311">
        <f t="shared" ref="L928:L930" si="350">J928</f>
        <v>58.75</v>
      </c>
      <c r="M928" s="132"/>
      <c r="N928" s="161">
        <f t="shared" si="331"/>
        <v>1650000</v>
      </c>
    </row>
    <row r="929" spans="1:14">
      <c r="A929" s="44"/>
      <c r="B929" s="47">
        <v>28</v>
      </c>
      <c r="C929" s="48" t="s">
        <v>51</v>
      </c>
      <c r="D929" s="60">
        <v>12000000</v>
      </c>
      <c r="E929" s="120">
        <v>0</v>
      </c>
      <c r="F929" s="132">
        <v>0</v>
      </c>
      <c r="G929" s="206">
        <f>300000+300000+2250000+1000000+400000+1250000+500000+750000+200000</f>
        <v>6950000</v>
      </c>
      <c r="H929" s="299">
        <f t="shared" ref="H929" si="351">G929/D929*100</f>
        <v>57.916666666666671</v>
      </c>
      <c r="I929" s="192">
        <f>G929</f>
        <v>6950000</v>
      </c>
      <c r="J929" s="301">
        <f>I929/D929*100</f>
        <v>57.916666666666671</v>
      </c>
      <c r="K929" s="331">
        <f t="shared" si="347"/>
        <v>0.66666666666666663</v>
      </c>
      <c r="L929" s="311">
        <f t="shared" si="350"/>
        <v>57.916666666666671</v>
      </c>
      <c r="M929" s="132"/>
      <c r="N929" s="161">
        <f t="shared" si="331"/>
        <v>5050000</v>
      </c>
    </row>
    <row r="930" spans="1:14">
      <c r="A930" s="44"/>
      <c r="B930" s="61">
        <v>29</v>
      </c>
      <c r="C930" s="50" t="s">
        <v>52</v>
      </c>
      <c r="D930" s="62">
        <v>2000000</v>
      </c>
      <c r="E930" s="121">
        <v>0</v>
      </c>
      <c r="F930" s="133">
        <v>0</v>
      </c>
      <c r="G930" s="197">
        <f>200000+100000+390000</f>
        <v>690000</v>
      </c>
      <c r="H930" s="312">
        <f>G930/D930*100</f>
        <v>34.5</v>
      </c>
      <c r="I930" s="313">
        <f t="shared" ref="I930" si="352">G930</f>
        <v>690000</v>
      </c>
      <c r="J930" s="314">
        <f t="shared" ref="J930" si="353">I930/D930*100</f>
        <v>34.5</v>
      </c>
      <c r="K930" s="331">
        <f>8/12</f>
        <v>0.66666666666666663</v>
      </c>
      <c r="L930" s="311">
        <f t="shared" si="350"/>
        <v>34.5</v>
      </c>
      <c r="M930" s="133"/>
      <c r="N930" s="161">
        <f t="shared" si="331"/>
        <v>1310000</v>
      </c>
    </row>
    <row r="931" spans="1:14">
      <c r="A931" s="63"/>
      <c r="B931" s="64"/>
      <c r="C931" s="65" t="s">
        <v>45</v>
      </c>
      <c r="D931" s="66">
        <f>SUM(D923:D930)</f>
        <v>173000000</v>
      </c>
      <c r="E931" s="122"/>
      <c r="F931" s="66"/>
      <c r="G931" s="285">
        <f>SUM(G923:G930)</f>
        <v>141941250</v>
      </c>
      <c r="H931" s="323">
        <f>G931/D931*100</f>
        <v>82.046965317919074</v>
      </c>
      <c r="I931" s="286">
        <f>SUM(I923:I930)</f>
        <v>141941250</v>
      </c>
      <c r="J931" s="323">
        <f>I931/D931*100</f>
        <v>82.046965317919074</v>
      </c>
      <c r="K931" s="333">
        <f>8/12</f>
        <v>0.66666666666666663</v>
      </c>
      <c r="L931" s="302">
        <f>J931</f>
        <v>82.046965317919074</v>
      </c>
      <c r="M931" s="66"/>
      <c r="N931" s="161">
        <v>0</v>
      </c>
    </row>
    <row r="932" spans="1:14">
      <c r="A932" s="67" t="s">
        <v>53</v>
      </c>
      <c r="B932" s="68" t="s">
        <v>54</v>
      </c>
      <c r="C932" s="69"/>
      <c r="D932" s="70"/>
      <c r="E932" s="123"/>
      <c r="F932" s="134"/>
      <c r="G932" s="164"/>
      <c r="H932" s="148"/>
      <c r="I932" s="164"/>
      <c r="J932" s="152"/>
      <c r="K932" s="152"/>
      <c r="L932" s="156"/>
      <c r="M932" s="134"/>
      <c r="N932" s="161">
        <f t="shared" si="331"/>
        <v>0</v>
      </c>
    </row>
    <row r="933" spans="1:14">
      <c r="A933" s="44"/>
      <c r="B933" s="47" t="s">
        <v>26</v>
      </c>
      <c r="C933" s="48" t="s">
        <v>55</v>
      </c>
      <c r="D933" s="60">
        <v>25000000</v>
      </c>
      <c r="E933" s="120">
        <v>0</v>
      </c>
      <c r="F933" s="208">
        <v>0</v>
      </c>
      <c r="G933" s="197" t="s">
        <v>132</v>
      </c>
      <c r="H933" s="59" t="s">
        <v>132</v>
      </c>
      <c r="I933" s="197" t="s">
        <v>132</v>
      </c>
      <c r="J933" s="59" t="s">
        <v>132</v>
      </c>
      <c r="K933" s="59">
        <v>0</v>
      </c>
      <c r="L933" s="59">
        <v>0</v>
      </c>
      <c r="M933" s="132"/>
      <c r="N933" s="161">
        <f>D933</f>
        <v>25000000</v>
      </c>
    </row>
    <row r="934" spans="1:14">
      <c r="A934" s="63"/>
      <c r="B934" s="71"/>
      <c r="C934" s="65" t="s">
        <v>45</v>
      </c>
      <c r="D934" s="66">
        <f>SUM(D933:D933)</f>
        <v>25000000</v>
      </c>
      <c r="E934" s="122">
        <f>SUM(E933:E933)</f>
        <v>0</v>
      </c>
      <c r="F934" s="202">
        <f>SUM(F933:F933)</f>
        <v>0</v>
      </c>
      <c r="G934" s="122" t="s">
        <v>132</v>
      </c>
      <c r="H934" s="66" t="s">
        <v>132</v>
      </c>
      <c r="I934" s="122" t="s">
        <v>132</v>
      </c>
      <c r="J934" s="155" t="s">
        <v>132</v>
      </c>
      <c r="K934" s="66">
        <f>SUM(K933:K933)</f>
        <v>0</v>
      </c>
      <c r="L934" s="66">
        <f>SUM(L933:L933)</f>
        <v>0</v>
      </c>
      <c r="M934" s="66"/>
      <c r="N934" s="161">
        <v>0</v>
      </c>
    </row>
    <row r="935" spans="1:14">
      <c r="A935" s="44">
        <v>15</v>
      </c>
      <c r="B935" s="72" t="s">
        <v>61</v>
      </c>
      <c r="C935" s="73"/>
      <c r="D935" s="57"/>
      <c r="E935" s="119"/>
      <c r="F935" s="209"/>
      <c r="G935" s="119" t="s">
        <v>132</v>
      </c>
      <c r="H935" s="152" t="s">
        <v>132</v>
      </c>
      <c r="I935" s="119" t="s">
        <v>132</v>
      </c>
      <c r="J935" s="152" t="s">
        <v>132</v>
      </c>
      <c r="K935" s="152"/>
      <c r="L935" s="152"/>
      <c r="M935" s="131"/>
      <c r="N935" s="161">
        <v>0</v>
      </c>
    </row>
    <row r="936" spans="1:14">
      <c r="A936" s="44"/>
      <c r="B936" s="47">
        <v>18</v>
      </c>
      <c r="C936" s="48" t="s">
        <v>62</v>
      </c>
      <c r="D936" s="60">
        <v>5000000</v>
      </c>
      <c r="E936" s="120">
        <v>0</v>
      </c>
      <c r="F936" s="208">
        <v>0</v>
      </c>
      <c r="G936" s="120">
        <v>5000000</v>
      </c>
      <c r="H936" s="299">
        <f t="shared" ref="H936:H937" si="354">G936/D936*100</f>
        <v>100</v>
      </c>
      <c r="I936" s="120">
        <f>G936</f>
        <v>5000000</v>
      </c>
      <c r="J936" s="301">
        <f>I936/D936*100</f>
        <v>100</v>
      </c>
      <c r="K936" s="331">
        <f>8/12</f>
        <v>0.66666666666666663</v>
      </c>
      <c r="L936" s="301">
        <f>J936</f>
        <v>100</v>
      </c>
      <c r="M936" s="132"/>
      <c r="N936" s="161">
        <f t="shared" si="331"/>
        <v>0</v>
      </c>
    </row>
    <row r="937" spans="1:14" ht="25.5">
      <c r="A937" s="44"/>
      <c r="B937" s="49">
        <v>63</v>
      </c>
      <c r="C937" s="244" t="s">
        <v>63</v>
      </c>
      <c r="D937" s="62">
        <v>5000000</v>
      </c>
      <c r="E937" s="121">
        <v>0</v>
      </c>
      <c r="F937" s="210">
        <v>0</v>
      </c>
      <c r="G937" s="121">
        <v>5000000</v>
      </c>
      <c r="H937" s="300">
        <f t="shared" si="354"/>
        <v>100</v>
      </c>
      <c r="I937" s="120">
        <f>G937</f>
        <v>5000000</v>
      </c>
      <c r="J937" s="314">
        <f>I937/D937*100</f>
        <v>100</v>
      </c>
      <c r="K937" s="331">
        <f>8/12</f>
        <v>0.66666666666666663</v>
      </c>
      <c r="L937" s="528">
        <f>J937</f>
        <v>100</v>
      </c>
      <c r="M937" s="133"/>
      <c r="N937" s="161">
        <f t="shared" si="331"/>
        <v>0</v>
      </c>
    </row>
    <row r="938" spans="1:14">
      <c r="A938" s="63"/>
      <c r="B938" s="64"/>
      <c r="C938" s="65" t="s">
        <v>45</v>
      </c>
      <c r="D938" s="66">
        <f>SUM(D936:D937)</f>
        <v>10000000</v>
      </c>
      <c r="E938" s="122">
        <f t="shared" ref="E938" si="355">SUM(E936:E937)</f>
        <v>0</v>
      </c>
      <c r="F938" s="202">
        <f>SUM(F936:F937)</f>
        <v>0</v>
      </c>
      <c r="G938" s="195">
        <f>SUM(G936:G937)</f>
        <v>10000000</v>
      </c>
      <c r="H938" s="302">
        <f>G938/D938*100</f>
        <v>100</v>
      </c>
      <c r="I938" s="195">
        <f>SUM(I936:I937)</f>
        <v>10000000</v>
      </c>
      <c r="J938" s="323">
        <f>I938/D938*100</f>
        <v>100</v>
      </c>
      <c r="K938" s="356">
        <f>8/12</f>
        <v>0.66666666666666663</v>
      </c>
      <c r="L938" s="302">
        <f>J938</f>
        <v>100</v>
      </c>
      <c r="M938" s="66"/>
      <c r="N938" s="161">
        <f t="shared" si="331"/>
        <v>0</v>
      </c>
    </row>
    <row r="939" spans="1:14">
      <c r="A939" s="44">
        <v>30</v>
      </c>
      <c r="B939" s="77" t="s">
        <v>64</v>
      </c>
      <c r="C939" s="78"/>
      <c r="D939" s="57"/>
      <c r="E939" s="119"/>
      <c r="F939" s="209"/>
      <c r="G939" s="119"/>
      <c r="H939" s="152"/>
      <c r="I939" s="119"/>
      <c r="J939" s="152"/>
      <c r="K939" s="152"/>
      <c r="L939" s="311"/>
      <c r="M939" s="131"/>
      <c r="N939" s="161">
        <f t="shared" si="331"/>
        <v>0</v>
      </c>
    </row>
    <row r="940" spans="1:14">
      <c r="A940" s="44"/>
      <c r="B940" s="45">
        <v>2</v>
      </c>
      <c r="C940" s="79" t="s">
        <v>102</v>
      </c>
      <c r="D940" s="80">
        <v>200000000</v>
      </c>
      <c r="E940" s="124">
        <v>0</v>
      </c>
      <c r="F940" s="209">
        <v>0</v>
      </c>
      <c r="G940" s="124">
        <v>199258000</v>
      </c>
      <c r="H940" s="312">
        <f t="shared" ref="H940" si="356">G940/D940*100</f>
        <v>99.629000000000005</v>
      </c>
      <c r="I940" s="120">
        <f>G940</f>
        <v>199258000</v>
      </c>
      <c r="J940" s="314">
        <f>I940/D940*100</f>
        <v>99.629000000000005</v>
      </c>
      <c r="K940" s="355">
        <f>8/12</f>
        <v>0.66666666666666663</v>
      </c>
      <c r="L940" s="311">
        <f>J940</f>
        <v>99.629000000000005</v>
      </c>
      <c r="M940" s="131"/>
      <c r="N940" s="161">
        <v>0</v>
      </c>
    </row>
    <row r="941" spans="1:14">
      <c r="A941" s="63"/>
      <c r="B941" s="64"/>
      <c r="C941" s="65" t="s">
        <v>45</v>
      </c>
      <c r="D941" s="66">
        <f>SUM(D939:D940)</f>
        <v>200000000</v>
      </c>
      <c r="E941" s="66">
        <f>SUM(E939:E940)</f>
        <v>0</v>
      </c>
      <c r="F941" s="202">
        <f>SUM(F939:F940)</f>
        <v>0</v>
      </c>
      <c r="G941" s="122">
        <f>SUM(G940)</f>
        <v>199258000</v>
      </c>
      <c r="H941" s="323">
        <f>G941/D941*100</f>
        <v>99.629000000000005</v>
      </c>
      <c r="I941" s="122">
        <f>SUM(I940)</f>
        <v>199258000</v>
      </c>
      <c r="J941" s="323">
        <f>I941/D941*100</f>
        <v>99.629000000000005</v>
      </c>
      <c r="K941" s="356">
        <f>8/12</f>
        <v>0.66666666666666663</v>
      </c>
      <c r="L941" s="302">
        <f>J941</f>
        <v>99.629000000000005</v>
      </c>
      <c r="M941" s="66"/>
      <c r="N941" s="161">
        <f t="shared" si="331"/>
        <v>742000</v>
      </c>
    </row>
    <row r="942" spans="1:14">
      <c r="A942" s="44">
        <v>21</v>
      </c>
      <c r="B942" s="81" t="s">
        <v>65</v>
      </c>
      <c r="C942" s="82"/>
      <c r="D942" s="57"/>
      <c r="E942" s="119"/>
      <c r="F942" s="209"/>
      <c r="G942" s="119"/>
      <c r="H942" s="152"/>
      <c r="I942" s="119"/>
      <c r="J942" s="152"/>
      <c r="K942" s="152"/>
      <c r="L942" s="311"/>
      <c r="M942" s="131"/>
      <c r="N942" s="161">
        <f t="shared" si="331"/>
        <v>0</v>
      </c>
    </row>
    <row r="943" spans="1:14">
      <c r="A943" s="44"/>
      <c r="B943" s="47" t="s">
        <v>46</v>
      </c>
      <c r="C943" s="48" t="s">
        <v>66</v>
      </c>
      <c r="D943" s="60">
        <v>20000000</v>
      </c>
      <c r="E943" s="125">
        <v>0</v>
      </c>
      <c r="F943" s="211">
        <v>0</v>
      </c>
      <c r="G943" s="199">
        <v>20000000</v>
      </c>
      <c r="H943" s="312">
        <f>G943/D943*100</f>
        <v>100</v>
      </c>
      <c r="I943" s="197">
        <f>G943</f>
        <v>20000000</v>
      </c>
      <c r="J943" s="301">
        <f>H943</f>
        <v>100</v>
      </c>
      <c r="K943" s="349">
        <f>8/12</f>
        <v>0.66666666666666663</v>
      </c>
      <c r="L943" s="301">
        <f>J943</f>
        <v>100</v>
      </c>
      <c r="M943" s="132"/>
      <c r="N943" s="161">
        <f t="shared" si="331"/>
        <v>0</v>
      </c>
    </row>
    <row r="944" spans="1:14">
      <c r="A944" s="63"/>
      <c r="B944" s="83"/>
      <c r="C944" s="65" t="s">
        <v>45</v>
      </c>
      <c r="D944" s="66">
        <f>SUM(D943:D943)</f>
        <v>20000000</v>
      </c>
      <c r="E944" s="66">
        <f t="shared" ref="E944:F944" si="357">SUM(E941:E943)</f>
        <v>0</v>
      </c>
      <c r="F944" s="202">
        <f t="shared" si="357"/>
        <v>0</v>
      </c>
      <c r="G944" s="122">
        <f>SUM(G943)</f>
        <v>20000000</v>
      </c>
      <c r="H944" s="323">
        <f>G944/D944*100</f>
        <v>100</v>
      </c>
      <c r="I944" s="122">
        <f>SUM(I943)</f>
        <v>20000000</v>
      </c>
      <c r="J944" s="302">
        <f>H944</f>
        <v>100</v>
      </c>
      <c r="K944" s="350">
        <f>8/12</f>
        <v>0.66666666666666663</v>
      </c>
      <c r="L944" s="302">
        <f>SUM(L943)</f>
        <v>100</v>
      </c>
      <c r="M944" s="66"/>
      <c r="N944" s="161">
        <f t="shared" si="331"/>
        <v>0</v>
      </c>
    </row>
    <row r="945" spans="1:14">
      <c r="A945" s="84">
        <v>18</v>
      </c>
      <c r="B945" s="826" t="s">
        <v>96</v>
      </c>
      <c r="C945" s="827"/>
      <c r="D945" s="57"/>
      <c r="E945" s="119"/>
      <c r="F945" s="209"/>
      <c r="G945" s="119"/>
      <c r="H945" s="152"/>
      <c r="I945" s="119"/>
      <c r="J945" s="152"/>
      <c r="K945" s="152"/>
      <c r="L945" s="152"/>
      <c r="M945" s="131"/>
      <c r="N945" s="161">
        <f t="shared" si="331"/>
        <v>0</v>
      </c>
    </row>
    <row r="946" spans="1:14">
      <c r="A946" s="84"/>
      <c r="B946" s="830" t="s">
        <v>95</v>
      </c>
      <c r="C946" s="831"/>
      <c r="D946" s="57"/>
      <c r="E946" s="124"/>
      <c r="F946" s="209"/>
      <c r="G946" s="119"/>
      <c r="H946" s="152"/>
      <c r="I946" s="119"/>
      <c r="J946" s="152"/>
      <c r="K946" s="152"/>
      <c r="L946" s="152"/>
      <c r="M946" s="131"/>
      <c r="N946" s="161">
        <f t="shared" si="331"/>
        <v>0</v>
      </c>
    </row>
    <row r="947" spans="1:14">
      <c r="A947" s="44"/>
      <c r="B947" s="47" t="s">
        <v>26</v>
      </c>
      <c r="C947" s="48" t="s">
        <v>67</v>
      </c>
      <c r="D947" s="60">
        <v>20000000</v>
      </c>
      <c r="E947" s="125">
        <v>0</v>
      </c>
      <c r="F947" s="211">
        <v>0</v>
      </c>
      <c r="G947" s="199" t="s">
        <v>132</v>
      </c>
      <c r="H947" s="59" t="s">
        <v>132</v>
      </c>
      <c r="I947" s="119" t="str">
        <f t="shared" ref="I947" si="358">G947</f>
        <v>-</v>
      </c>
      <c r="J947" s="59" t="s">
        <v>132</v>
      </c>
      <c r="K947" s="59">
        <v>0</v>
      </c>
      <c r="L947" s="59">
        <v>0</v>
      </c>
      <c r="M947" s="132"/>
      <c r="N947" s="161">
        <f>D947</f>
        <v>20000000</v>
      </c>
    </row>
    <row r="948" spans="1:14">
      <c r="A948" s="44"/>
      <c r="B948" s="47" t="s">
        <v>29</v>
      </c>
      <c r="C948" s="204" t="s">
        <v>220</v>
      </c>
      <c r="D948" s="179">
        <v>7000000</v>
      </c>
      <c r="E948" s="180">
        <v>0</v>
      </c>
      <c r="F948" s="181">
        <v>0</v>
      </c>
      <c r="G948" s="207" t="s">
        <v>132</v>
      </c>
      <c r="H948" s="148" t="s">
        <v>132</v>
      </c>
      <c r="I948" s="119" t="s">
        <v>132</v>
      </c>
      <c r="J948" s="148" t="s">
        <v>132</v>
      </c>
      <c r="K948" s="59">
        <v>0</v>
      </c>
      <c r="L948" s="148">
        <v>0</v>
      </c>
      <c r="M948" s="165"/>
      <c r="N948" s="161">
        <f>D948</f>
        <v>7000000</v>
      </c>
    </row>
    <row r="949" spans="1:14">
      <c r="A949" s="44"/>
      <c r="B949" s="47"/>
      <c r="C949" s="48" t="s">
        <v>117</v>
      </c>
      <c r="D949" s="60"/>
      <c r="E949" s="125"/>
      <c r="F949" s="135"/>
      <c r="G949" s="199"/>
      <c r="H949" s="59"/>
      <c r="I949" s="197"/>
      <c r="J949" s="59"/>
      <c r="K949" s="59"/>
      <c r="L949" s="59"/>
      <c r="M949" s="132"/>
      <c r="N949" s="161">
        <f t="shared" si="331"/>
        <v>0</v>
      </c>
    </row>
    <row r="950" spans="1:14">
      <c r="A950" s="63"/>
      <c r="B950" s="71"/>
      <c r="C950" s="65" t="s">
        <v>45</v>
      </c>
      <c r="D950" s="66">
        <f>SUM(D947:D949)</f>
        <v>27000000</v>
      </c>
      <c r="E950" s="66">
        <f t="shared" ref="E950" si="359">SUM(E947:E947)</f>
        <v>0</v>
      </c>
      <c r="F950" s="66">
        <f>SUM(F947:F947)</f>
        <v>0</v>
      </c>
      <c r="G950" s="122" t="s">
        <v>132</v>
      </c>
      <c r="H950" s="66" t="s">
        <v>132</v>
      </c>
      <c r="I950" s="122" t="s">
        <v>132</v>
      </c>
      <c r="J950" s="66" t="s">
        <v>132</v>
      </c>
      <c r="K950" s="66">
        <f>SUM(K947:K949)</f>
        <v>0</v>
      </c>
      <c r="L950" s="66">
        <f t="shared" ref="L950" si="360">SUM(L947:L947)</f>
        <v>0</v>
      </c>
      <c r="M950" s="66"/>
      <c r="N950" s="161">
        <v>0</v>
      </c>
    </row>
    <row r="951" spans="1:14">
      <c r="A951" s="84">
        <v>17</v>
      </c>
      <c r="B951" s="826" t="s">
        <v>130</v>
      </c>
      <c r="C951" s="827"/>
      <c r="D951" s="57"/>
      <c r="E951" s="119"/>
      <c r="F951" s="131"/>
      <c r="G951" s="119"/>
      <c r="H951" s="152"/>
      <c r="I951" s="119"/>
      <c r="J951" s="152"/>
      <c r="K951" s="152"/>
      <c r="L951" s="152"/>
      <c r="M951" s="131"/>
      <c r="N951" s="161">
        <f t="shared" si="331"/>
        <v>0</v>
      </c>
    </row>
    <row r="952" spans="1:14">
      <c r="A952" s="44"/>
      <c r="B952" s="47" t="s">
        <v>53</v>
      </c>
      <c r="C952" s="48" t="s">
        <v>131</v>
      </c>
      <c r="D952" s="60">
        <v>24000000</v>
      </c>
      <c r="E952" s="125">
        <v>0</v>
      </c>
      <c r="F952" s="135">
        <v>0</v>
      </c>
      <c r="G952" s="197">
        <v>19000000</v>
      </c>
      <c r="H952" s="312">
        <f>G952/D952*100</f>
        <v>79.166666666666657</v>
      </c>
      <c r="I952" s="197">
        <f>G952</f>
        <v>19000000</v>
      </c>
      <c r="J952" s="301">
        <f>H952</f>
        <v>79.166666666666657</v>
      </c>
      <c r="K952" s="349">
        <f>8/12</f>
        <v>0.66666666666666663</v>
      </c>
      <c r="L952" s="59">
        <v>0</v>
      </c>
      <c r="M952" s="132"/>
      <c r="N952" s="161">
        <v>0</v>
      </c>
    </row>
    <row r="953" spans="1:14">
      <c r="A953" s="63"/>
      <c r="B953" s="64"/>
      <c r="C953" s="65" t="s">
        <v>45</v>
      </c>
      <c r="D953" s="66">
        <f>SUM(D952:D952)</f>
        <v>24000000</v>
      </c>
      <c r="E953" s="66">
        <f t="shared" ref="E953:F953" si="361">SUM(E951:E952)</f>
        <v>0</v>
      </c>
      <c r="F953" s="66">
        <f t="shared" si="361"/>
        <v>0</v>
      </c>
      <c r="G953" s="122">
        <f>SUM(G952)</f>
        <v>19000000</v>
      </c>
      <c r="H953" s="323">
        <f>G953/D953*100</f>
        <v>79.166666666666657</v>
      </c>
      <c r="I953" s="122">
        <f>SUM(I952)</f>
        <v>19000000</v>
      </c>
      <c r="J953" s="302">
        <f>H953</f>
        <v>79.166666666666657</v>
      </c>
      <c r="K953" s="356">
        <f>8/12</f>
        <v>0.66666666666666663</v>
      </c>
      <c r="L953" s="66">
        <f t="shared" ref="L953" si="362">SUM(L951:L952)</f>
        <v>0</v>
      </c>
      <c r="M953" s="66"/>
      <c r="N953" s="161">
        <f t="shared" si="331"/>
        <v>5000000</v>
      </c>
    </row>
    <row r="954" spans="1:14">
      <c r="A954" s="44">
        <v>15</v>
      </c>
      <c r="B954" s="542" t="s">
        <v>68</v>
      </c>
      <c r="C954" s="86"/>
      <c r="D954" s="57"/>
      <c r="E954" s="119"/>
      <c r="F954" s="131"/>
      <c r="G954" s="119"/>
      <c r="H954" s="152"/>
      <c r="I954" s="119"/>
      <c r="J954" s="152"/>
      <c r="K954" s="152"/>
      <c r="L954" s="152"/>
      <c r="M954" s="131"/>
      <c r="N954" s="161">
        <f t="shared" si="331"/>
        <v>0</v>
      </c>
    </row>
    <row r="955" spans="1:14" ht="26.25">
      <c r="A955" s="44"/>
      <c r="B955" s="49" t="s">
        <v>80</v>
      </c>
      <c r="C955" s="50" t="s">
        <v>118</v>
      </c>
      <c r="D955" s="62">
        <v>10000000</v>
      </c>
      <c r="E955" s="125">
        <v>0</v>
      </c>
      <c r="F955" s="135">
        <v>0</v>
      </c>
      <c r="G955" s="119" t="s">
        <v>132</v>
      </c>
      <c r="H955" s="59" t="s">
        <v>132</v>
      </c>
      <c r="I955" s="119" t="s">
        <v>132</v>
      </c>
      <c r="J955" s="59" t="s">
        <v>132</v>
      </c>
      <c r="K955" s="339"/>
      <c r="L955" s="59">
        <v>0</v>
      </c>
      <c r="M955" s="132"/>
      <c r="N955" s="161">
        <v>10000000</v>
      </c>
    </row>
    <row r="956" spans="1:14">
      <c r="A956" s="44"/>
      <c r="B956" s="49" t="s">
        <v>69</v>
      </c>
      <c r="C956" s="50" t="s">
        <v>70</v>
      </c>
      <c r="D956" s="62">
        <v>60000000</v>
      </c>
      <c r="E956" s="125">
        <v>0</v>
      </c>
      <c r="F956" s="135">
        <v>0</v>
      </c>
      <c r="G956" s="197">
        <v>60000000</v>
      </c>
      <c r="H956" s="312">
        <f>G956/D956*100</f>
        <v>100</v>
      </c>
      <c r="I956" s="197">
        <f>G956</f>
        <v>60000000</v>
      </c>
      <c r="J956" s="301">
        <f>H956</f>
        <v>100</v>
      </c>
      <c r="K956" s="349">
        <f>8/12</f>
        <v>0.66666666666666663</v>
      </c>
      <c r="L956" s="301">
        <f>J956</f>
        <v>100</v>
      </c>
      <c r="M956" s="132"/>
      <c r="N956" s="161">
        <f t="shared" si="331"/>
        <v>0</v>
      </c>
    </row>
    <row r="957" spans="1:14">
      <c r="A957" s="63"/>
      <c r="B957" s="64"/>
      <c r="C957" s="65" t="s">
        <v>45</v>
      </c>
      <c r="D957" s="66">
        <f>SUM(D955:D956)</f>
        <v>70000000</v>
      </c>
      <c r="E957" s="66">
        <f>SUM(E953:E956)</f>
        <v>0</v>
      </c>
      <c r="F957" s="66">
        <f>SUM(F953:F956)</f>
        <v>0</v>
      </c>
      <c r="G957" s="122">
        <f>SUM(G956)</f>
        <v>60000000</v>
      </c>
      <c r="H957" s="323">
        <f>G957/D957*100</f>
        <v>85.714285714285708</v>
      </c>
      <c r="I957" s="122">
        <f>SUM(I956)</f>
        <v>60000000</v>
      </c>
      <c r="J957" s="302">
        <f>H957</f>
        <v>85.714285714285708</v>
      </c>
      <c r="K957" s="356">
        <f>8/12</f>
        <v>0.66666666666666663</v>
      </c>
      <c r="L957" s="302">
        <f>SUM(L953:L956)</f>
        <v>100</v>
      </c>
      <c r="M957" s="66"/>
      <c r="N957" s="161">
        <v>0</v>
      </c>
    </row>
    <row r="958" spans="1:14">
      <c r="A958" s="44">
        <v>16</v>
      </c>
      <c r="B958" s="81" t="s">
        <v>71</v>
      </c>
      <c r="C958" s="82"/>
      <c r="D958" s="57"/>
      <c r="E958" s="119"/>
      <c r="F958" s="131"/>
      <c r="G958" s="119"/>
      <c r="H958" s="152"/>
      <c r="I958" s="119"/>
      <c r="J958" s="152"/>
      <c r="K958" s="152"/>
      <c r="L958" s="152"/>
      <c r="M958" s="131"/>
      <c r="N958" s="161">
        <f t="shared" si="331"/>
        <v>0</v>
      </c>
    </row>
    <row r="959" spans="1:14">
      <c r="A959" s="44"/>
      <c r="B959" s="47" t="s">
        <v>72</v>
      </c>
      <c r="C959" s="48" t="s">
        <v>73</v>
      </c>
      <c r="D959" s="60">
        <v>5000000</v>
      </c>
      <c r="E959" s="120">
        <v>0</v>
      </c>
      <c r="F959" s="132">
        <v>0</v>
      </c>
      <c r="G959" s="120">
        <v>5000000</v>
      </c>
      <c r="H959" s="312">
        <f>G959/D959*100</f>
        <v>100</v>
      </c>
      <c r="I959" s="313">
        <f t="shared" ref="I959:I960" si="363">G959</f>
        <v>5000000</v>
      </c>
      <c r="J959" s="314">
        <f t="shared" ref="J959:J960" si="364">I959/D959*100</f>
        <v>100</v>
      </c>
      <c r="K959" s="339">
        <f>8/12</f>
        <v>0.66666666666666663</v>
      </c>
      <c r="L959" s="311">
        <f>J959</f>
        <v>100</v>
      </c>
      <c r="M959" s="132"/>
      <c r="N959" s="161">
        <f t="shared" si="331"/>
        <v>0</v>
      </c>
    </row>
    <row r="960" spans="1:14">
      <c r="A960" s="63"/>
      <c r="B960" s="83"/>
      <c r="C960" s="65" t="s">
        <v>45</v>
      </c>
      <c r="D960" s="66">
        <f>SUM(D959:D959)</f>
        <v>5000000</v>
      </c>
      <c r="E960" s="122">
        <f>SUM(E959:E959)</f>
        <v>0</v>
      </c>
      <c r="F960" s="66">
        <f>SUM(F959:F959)</f>
        <v>0</v>
      </c>
      <c r="G960" s="195">
        <f>G959</f>
        <v>5000000</v>
      </c>
      <c r="H960" s="534">
        <f>G960/D960*100</f>
        <v>100</v>
      </c>
      <c r="I960" s="530">
        <f t="shared" si="363"/>
        <v>5000000</v>
      </c>
      <c r="J960" s="531">
        <f t="shared" si="364"/>
        <v>100</v>
      </c>
      <c r="K960" s="333">
        <f>SUM(K959)</f>
        <v>0.66666666666666663</v>
      </c>
      <c r="L960" s="302">
        <f>SUM(L959)</f>
        <v>100</v>
      </c>
      <c r="M960" s="66"/>
      <c r="N960" s="161">
        <f t="shared" si="331"/>
        <v>0</v>
      </c>
    </row>
    <row r="961" spans="1:14">
      <c r="A961" s="87" t="s">
        <v>69</v>
      </c>
      <c r="B961" s="826" t="s">
        <v>89</v>
      </c>
      <c r="C961" s="827"/>
      <c r="D961" s="70"/>
      <c r="E961" s="123"/>
      <c r="F961" s="134"/>
      <c r="G961" s="123"/>
      <c r="H961" s="156"/>
      <c r="I961" s="123"/>
      <c r="J961" s="156"/>
      <c r="K961" s="156"/>
      <c r="L961" s="156"/>
      <c r="M961" s="134"/>
      <c r="N961" s="161">
        <f t="shared" si="331"/>
        <v>0</v>
      </c>
    </row>
    <row r="962" spans="1:14">
      <c r="A962" s="88"/>
      <c r="B962" s="830" t="s">
        <v>88</v>
      </c>
      <c r="C962" s="831"/>
      <c r="D962" s="57"/>
      <c r="E962" s="119"/>
      <c r="F962" s="131"/>
      <c r="G962" s="119"/>
      <c r="H962" s="152"/>
      <c r="I962" s="119"/>
      <c r="J962" s="152"/>
      <c r="K962" s="152"/>
      <c r="L962" s="152"/>
      <c r="M962" s="131"/>
      <c r="N962" s="161">
        <f t="shared" si="331"/>
        <v>0</v>
      </c>
    </row>
    <row r="963" spans="1:14">
      <c r="A963" s="89"/>
      <c r="B963" s="61" t="s">
        <v>26</v>
      </c>
      <c r="C963" s="90" t="s">
        <v>74</v>
      </c>
      <c r="D963" s="91">
        <v>15000000</v>
      </c>
      <c r="E963" s="126">
        <v>0</v>
      </c>
      <c r="F963" s="136">
        <v>0</v>
      </c>
      <c r="G963" s="126">
        <v>15000000</v>
      </c>
      <c r="H963" s="312">
        <f>G963/D963*100</f>
        <v>100</v>
      </c>
      <c r="I963" s="313">
        <f>G963</f>
        <v>15000000</v>
      </c>
      <c r="J963" s="314">
        <f t="shared" ref="J963:J964" si="365">I963/D963*100</f>
        <v>100</v>
      </c>
      <c r="K963" s="339">
        <f>8/12</f>
        <v>0.66666666666666663</v>
      </c>
      <c r="L963" s="311">
        <f>J963</f>
        <v>100</v>
      </c>
      <c r="M963" s="136"/>
      <c r="N963" s="161">
        <f t="shared" si="331"/>
        <v>0</v>
      </c>
    </row>
    <row r="964" spans="1:14">
      <c r="A964" s="63"/>
      <c r="B964" s="83"/>
      <c r="C964" s="65" t="s">
        <v>45</v>
      </c>
      <c r="D964" s="66">
        <f>SUM(D963:D963)</f>
        <v>15000000</v>
      </c>
      <c r="E964" s="122">
        <f>SUM(E963:E963)</f>
        <v>0</v>
      </c>
      <c r="F964" s="66">
        <f>SUM(F963:F963)</f>
        <v>0</v>
      </c>
      <c r="G964" s="532">
        <f>SUM(G963)</f>
        <v>15000000</v>
      </c>
      <c r="H964" s="323">
        <f>G964/D964*100</f>
        <v>100</v>
      </c>
      <c r="I964" s="533">
        <f t="shared" ref="I964" si="366">G964</f>
        <v>15000000</v>
      </c>
      <c r="J964" s="340">
        <f t="shared" si="365"/>
        <v>100</v>
      </c>
      <c r="K964" s="333">
        <f>SUM(K963)</f>
        <v>0.66666666666666663</v>
      </c>
      <c r="L964" s="302">
        <f>SUM(L963)</f>
        <v>100</v>
      </c>
      <c r="M964" s="66"/>
      <c r="N964" s="161">
        <f t="shared" si="331"/>
        <v>0</v>
      </c>
    </row>
    <row r="965" spans="1:14">
      <c r="A965" s="88"/>
      <c r="B965" s="826" t="s">
        <v>94</v>
      </c>
      <c r="C965" s="827"/>
      <c r="D965" s="57"/>
      <c r="E965" s="119"/>
      <c r="F965" s="131"/>
      <c r="G965" s="119"/>
      <c r="H965" s="152"/>
      <c r="I965" s="119"/>
      <c r="J965" s="152"/>
      <c r="K965" s="152"/>
      <c r="L965" s="152"/>
      <c r="M965" s="131"/>
      <c r="N965" s="161">
        <f t="shared" si="331"/>
        <v>0</v>
      </c>
    </row>
    <row r="966" spans="1:14">
      <c r="A966" s="84"/>
      <c r="B966" s="92" t="s">
        <v>26</v>
      </c>
      <c r="C966" s="48" t="s">
        <v>134</v>
      </c>
      <c r="D966" s="60">
        <v>4000000</v>
      </c>
      <c r="E966" s="125">
        <v>0</v>
      </c>
      <c r="F966" s="135">
        <v>0</v>
      </c>
      <c r="G966" s="197">
        <v>4000000</v>
      </c>
      <c r="H966" s="312">
        <f>G966/D966*100</f>
        <v>100</v>
      </c>
      <c r="I966" s="197">
        <f>G966</f>
        <v>4000000</v>
      </c>
      <c r="J966" s="314">
        <f t="shared" ref="J966:J967" si="367">I966/D966*100</f>
        <v>100</v>
      </c>
      <c r="K966" s="339">
        <f>8/12</f>
        <v>0.66666666666666663</v>
      </c>
      <c r="L966" s="301">
        <f>J966</f>
        <v>100</v>
      </c>
      <c r="M966" s="132"/>
      <c r="N966" s="161">
        <f t="shared" si="331"/>
        <v>0</v>
      </c>
    </row>
    <row r="967" spans="1:14">
      <c r="A967" s="93"/>
      <c r="B967" s="64"/>
      <c r="C967" s="65" t="s">
        <v>45</v>
      </c>
      <c r="D967" s="66">
        <f>SUM(D966:D966)</f>
        <v>4000000</v>
      </c>
      <c r="E967" s="66">
        <f t="shared" ref="E967:F967" si="368">SUM(E961:E966)</f>
        <v>0</v>
      </c>
      <c r="F967" s="66">
        <f t="shared" si="368"/>
        <v>0</v>
      </c>
      <c r="G967" s="122">
        <f>SUM(G966)</f>
        <v>4000000</v>
      </c>
      <c r="H967" s="323">
        <f>G967/D967*100</f>
        <v>100</v>
      </c>
      <c r="I967" s="533">
        <f t="shared" ref="I967" si="369">G967</f>
        <v>4000000</v>
      </c>
      <c r="J967" s="340">
        <f t="shared" si="367"/>
        <v>100</v>
      </c>
      <c r="K967" s="350">
        <f>8/12</f>
        <v>0.66666666666666663</v>
      </c>
      <c r="L967" s="302">
        <f>J967</f>
        <v>100</v>
      </c>
      <c r="M967" s="66"/>
      <c r="N967" s="161">
        <f t="shared" si="331"/>
        <v>0</v>
      </c>
    </row>
    <row r="968" spans="1:14">
      <c r="A968" s="84">
        <v>16</v>
      </c>
      <c r="B968" s="826" t="s">
        <v>75</v>
      </c>
      <c r="C968" s="827"/>
      <c r="D968" s="57"/>
      <c r="E968" s="119"/>
      <c r="F968" s="131"/>
      <c r="G968" s="119"/>
      <c r="H968" s="156"/>
      <c r="I968" s="123"/>
      <c r="J968" s="152"/>
      <c r="K968" s="152"/>
      <c r="L968" s="152"/>
      <c r="M968" s="131"/>
      <c r="N968" s="161">
        <f t="shared" si="331"/>
        <v>0</v>
      </c>
    </row>
    <row r="969" spans="1:14">
      <c r="A969" s="84"/>
      <c r="B969" s="94" t="s">
        <v>72</v>
      </c>
      <c r="C969" s="95" t="s">
        <v>103</v>
      </c>
      <c r="D969" s="80">
        <v>10000000</v>
      </c>
      <c r="E969" s="124"/>
      <c r="F969" s="131"/>
      <c r="G969" s="218">
        <v>6000000</v>
      </c>
      <c r="H969" s="312">
        <f>G969/D969*100</f>
        <v>60</v>
      </c>
      <c r="I969" s="313">
        <f t="shared" ref="I969" si="370">G969</f>
        <v>6000000</v>
      </c>
      <c r="J969" s="314">
        <f t="shared" ref="J969" si="371">I969/D969*100</f>
        <v>60</v>
      </c>
      <c r="K969" s="339">
        <f>8/12</f>
        <v>0.66666666666666663</v>
      </c>
      <c r="L969" s="311">
        <f>J969</f>
        <v>60</v>
      </c>
      <c r="M969" s="131"/>
      <c r="N969" s="161">
        <v>0</v>
      </c>
    </row>
    <row r="970" spans="1:14">
      <c r="A970" s="93"/>
      <c r="B970" s="83"/>
      <c r="C970" s="65" t="s">
        <v>45</v>
      </c>
      <c r="D970" s="66">
        <f>SUM(D969)</f>
        <v>10000000</v>
      </c>
      <c r="E970" s="66">
        <f t="shared" ref="E970:F970" si="372">SUM(E968:E969)</f>
        <v>0</v>
      </c>
      <c r="F970" s="66">
        <f t="shared" si="372"/>
        <v>0</v>
      </c>
      <c r="G970" s="122">
        <f>SUM(G969)</f>
        <v>6000000</v>
      </c>
      <c r="H970" s="302">
        <f t="shared" ref="H970:J970" si="373">SUM(H969)</f>
        <v>60</v>
      </c>
      <c r="I970" s="122">
        <f t="shared" si="373"/>
        <v>6000000</v>
      </c>
      <c r="J970" s="302">
        <f t="shared" si="373"/>
        <v>60</v>
      </c>
      <c r="K970" s="333">
        <f>SUM(K969)</f>
        <v>0.66666666666666663</v>
      </c>
      <c r="L970" s="302">
        <f t="shared" ref="L970" si="374">SUM(L969)</f>
        <v>60</v>
      </c>
      <c r="M970" s="66"/>
      <c r="N970" s="161">
        <f t="shared" ref="N970:N1009" si="375">D970-G970</f>
        <v>4000000</v>
      </c>
    </row>
    <row r="971" spans="1:14">
      <c r="A971" s="84">
        <v>22</v>
      </c>
      <c r="B971" s="826" t="s">
        <v>87</v>
      </c>
      <c r="C971" s="827"/>
      <c r="D971" s="57"/>
      <c r="E971" s="119"/>
      <c r="F971" s="131"/>
      <c r="G971" s="119"/>
      <c r="H971" s="152"/>
      <c r="I971" s="119"/>
      <c r="J971" s="152"/>
      <c r="K971" s="152"/>
      <c r="L971" s="152"/>
      <c r="M971" s="131"/>
      <c r="N971" s="161">
        <f t="shared" si="375"/>
        <v>0</v>
      </c>
    </row>
    <row r="972" spans="1:14" ht="25.5">
      <c r="A972" s="84"/>
      <c r="B972" s="47" t="s">
        <v>26</v>
      </c>
      <c r="C972" s="95" t="s">
        <v>76</v>
      </c>
      <c r="D972" s="60">
        <v>3500000</v>
      </c>
      <c r="E972" s="125">
        <v>0</v>
      </c>
      <c r="F972" s="135">
        <v>0</v>
      </c>
      <c r="G972" s="197">
        <f>875000+875000</f>
        <v>1750000</v>
      </c>
      <c r="H972" s="312">
        <f>G972/D972*100</f>
        <v>50</v>
      </c>
      <c r="I972" s="197">
        <f>G972</f>
        <v>1750000</v>
      </c>
      <c r="J972" s="314">
        <f t="shared" ref="J972:J973" si="376">I972/D972*100</f>
        <v>50</v>
      </c>
      <c r="K972" s="339">
        <f>8/12</f>
        <v>0.66666666666666663</v>
      </c>
      <c r="L972" s="311">
        <f>J972</f>
        <v>50</v>
      </c>
      <c r="M972" s="132"/>
      <c r="N972" s="161">
        <v>0</v>
      </c>
    </row>
    <row r="973" spans="1:14">
      <c r="A973" s="63"/>
      <c r="B973" s="83"/>
      <c r="C973" s="65" t="s">
        <v>45</v>
      </c>
      <c r="D973" s="66">
        <f>SUM(D972:D972)</f>
        <v>3500000</v>
      </c>
      <c r="E973" s="66">
        <f t="shared" ref="E973:F973" si="377">SUM(E970:E972)</f>
        <v>0</v>
      </c>
      <c r="F973" s="66">
        <f t="shared" si="377"/>
        <v>0</v>
      </c>
      <c r="G973" s="122">
        <f>SUM(G972)</f>
        <v>1750000</v>
      </c>
      <c r="H973" s="535">
        <f>G973/D973*100</f>
        <v>50</v>
      </c>
      <c r="I973" s="122">
        <f>SUM(I972)</f>
        <v>1750000</v>
      </c>
      <c r="J973" s="536">
        <f t="shared" si="376"/>
        <v>50</v>
      </c>
      <c r="K973" s="333">
        <f>SUM(K972)</f>
        <v>0.66666666666666663</v>
      </c>
      <c r="L973" s="302">
        <f>SUM(L972)</f>
        <v>50</v>
      </c>
      <c r="M973" s="66"/>
      <c r="N973" s="161">
        <f t="shared" si="375"/>
        <v>1750000</v>
      </c>
    </row>
    <row r="974" spans="1:14">
      <c r="A974" s="44">
        <v>17</v>
      </c>
      <c r="B974" s="822" t="s">
        <v>56</v>
      </c>
      <c r="C974" s="823"/>
      <c r="D974" s="57"/>
      <c r="E974" s="119"/>
      <c r="F974" s="131"/>
      <c r="G974" s="119"/>
      <c r="H974" s="152"/>
      <c r="I974" s="119"/>
      <c r="J974" s="152"/>
      <c r="K974" s="152"/>
      <c r="L974" s="152"/>
      <c r="M974" s="131"/>
      <c r="N974" s="161">
        <f t="shared" si="375"/>
        <v>0</v>
      </c>
    </row>
    <row r="975" spans="1:14">
      <c r="A975" s="44"/>
      <c r="B975" s="47">
        <v>19</v>
      </c>
      <c r="C975" s="824" t="s">
        <v>91</v>
      </c>
      <c r="E975" s="120"/>
      <c r="F975" s="132"/>
      <c r="G975" s="119"/>
      <c r="H975" s="59"/>
      <c r="I975" s="119"/>
      <c r="J975" s="59"/>
      <c r="K975" s="59"/>
      <c r="L975" s="59"/>
      <c r="M975" s="132"/>
      <c r="N975" s="161">
        <f t="shared" si="375"/>
        <v>0</v>
      </c>
    </row>
    <row r="976" spans="1:14">
      <c r="A976" s="44"/>
      <c r="B976" s="163"/>
      <c r="C976" s="825"/>
      <c r="D976" s="60">
        <v>25000000</v>
      </c>
      <c r="E976" s="164">
        <v>0</v>
      </c>
      <c r="F976" s="165">
        <v>0</v>
      </c>
      <c r="G976" s="330">
        <v>10070000</v>
      </c>
      <c r="H976" s="312">
        <f>G976/D976*100</f>
        <v>40.28</v>
      </c>
      <c r="I976" s="197">
        <f>G976</f>
        <v>10070000</v>
      </c>
      <c r="J976" s="314">
        <f t="shared" ref="J976" si="378">I976/D976*100</f>
        <v>40.28</v>
      </c>
      <c r="K976" s="339">
        <f>8/12</f>
        <v>0.66666666666666663</v>
      </c>
      <c r="L976" s="314">
        <f>J976</f>
        <v>40.28</v>
      </c>
      <c r="M976" s="165"/>
      <c r="N976" s="161">
        <v>0</v>
      </c>
    </row>
    <row r="977" spans="1:14">
      <c r="A977" s="63"/>
      <c r="B977" s="96"/>
      <c r="C977" s="65" t="s">
        <v>45</v>
      </c>
      <c r="D977" s="66">
        <f>SUM(D976:D976)</f>
        <v>25000000</v>
      </c>
      <c r="E977" s="122">
        <f>SUM(E975:E975)</f>
        <v>0</v>
      </c>
      <c r="F977" s="137">
        <f>SUM(F975:F975)</f>
        <v>0</v>
      </c>
      <c r="G977" s="122">
        <f>SUM(G976)</f>
        <v>10070000</v>
      </c>
      <c r="H977" s="302">
        <f>SUM(H976)</f>
        <v>40.28</v>
      </c>
      <c r="I977" s="122">
        <f>SUM(I976)</f>
        <v>10070000</v>
      </c>
      <c r="J977" s="324">
        <f>SUM(J976)</f>
        <v>40.28</v>
      </c>
      <c r="K977" s="333">
        <f>SUM(K976)</f>
        <v>0.66666666666666663</v>
      </c>
      <c r="L977" s="340">
        <f>J977</f>
        <v>40.28</v>
      </c>
      <c r="M977" s="137"/>
      <c r="N977" s="161">
        <f t="shared" si="375"/>
        <v>14930000</v>
      </c>
    </row>
    <row r="978" spans="1:14">
      <c r="A978" s="44">
        <v>19</v>
      </c>
      <c r="B978" s="826" t="s">
        <v>57</v>
      </c>
      <c r="C978" s="827"/>
      <c r="D978" s="57"/>
      <c r="E978" s="119"/>
      <c r="F978" s="131"/>
      <c r="G978" s="119"/>
      <c r="H978" s="152"/>
      <c r="I978" s="119"/>
      <c r="J978" s="152"/>
      <c r="K978" s="152"/>
      <c r="L978" s="152"/>
      <c r="M978" s="131"/>
      <c r="N978" s="161">
        <f t="shared" si="375"/>
        <v>0</v>
      </c>
    </row>
    <row r="979" spans="1:14">
      <c r="A979" s="44"/>
      <c r="B979" s="47" t="s">
        <v>26</v>
      </c>
      <c r="C979" s="48" t="s">
        <v>58</v>
      </c>
      <c r="D979" s="60">
        <v>15000000</v>
      </c>
      <c r="E979" s="120">
        <v>0</v>
      </c>
      <c r="F979" s="132">
        <v>0</v>
      </c>
      <c r="G979" s="197">
        <v>15000000</v>
      </c>
      <c r="H979" s="59">
        <f>G979/D979*100</f>
        <v>100</v>
      </c>
      <c r="I979" s="197">
        <f>G979</f>
        <v>15000000</v>
      </c>
      <c r="J979" s="301">
        <f>I979/D979*100</f>
        <v>100</v>
      </c>
      <c r="K979" s="339">
        <f>8/12</f>
        <v>0.66666666666666663</v>
      </c>
      <c r="L979" s="311">
        <f>J979</f>
        <v>100</v>
      </c>
      <c r="M979" s="132"/>
      <c r="N979" s="161">
        <f t="shared" si="375"/>
        <v>0</v>
      </c>
    </row>
    <row r="980" spans="1:14">
      <c r="A980" s="183"/>
      <c r="B980" s="64"/>
      <c r="C980" s="65" t="s">
        <v>45</v>
      </c>
      <c r="D980" s="66">
        <f>SUM(D979)</f>
        <v>15000000</v>
      </c>
      <c r="E980" s="122">
        <f>SUM(E977:E977)</f>
        <v>0</v>
      </c>
      <c r="F980" s="66">
        <f>SUM(F977:F977)</f>
        <v>0</v>
      </c>
      <c r="G980" s="122">
        <f>G979</f>
        <v>15000000</v>
      </c>
      <c r="H980" s="66">
        <f>G980/D980*100</f>
        <v>100</v>
      </c>
      <c r="I980" s="122">
        <f>I979</f>
        <v>15000000</v>
      </c>
      <c r="J980" s="324">
        <f>I980/D980*100</f>
        <v>100</v>
      </c>
      <c r="K980" s="333">
        <f>SUM(K979)</f>
        <v>0.66666666666666663</v>
      </c>
      <c r="L980" s="302">
        <f>SUM(L979)</f>
        <v>100</v>
      </c>
      <c r="M980" s="66"/>
      <c r="N980" s="161">
        <f t="shared" si="375"/>
        <v>0</v>
      </c>
    </row>
    <row r="981" spans="1:14">
      <c r="A981" s="44">
        <v>32</v>
      </c>
      <c r="B981" s="97" t="s">
        <v>59</v>
      </c>
      <c r="C981" s="98"/>
      <c r="D981" s="57"/>
      <c r="E981" s="119"/>
      <c r="F981" s="131"/>
      <c r="G981" s="119"/>
      <c r="H981" s="152"/>
      <c r="I981" s="119"/>
      <c r="J981" s="152"/>
      <c r="K981" s="152"/>
      <c r="L981" s="152"/>
      <c r="M981" s="131"/>
      <c r="N981" s="161">
        <f t="shared" si="375"/>
        <v>0</v>
      </c>
    </row>
    <row r="982" spans="1:14">
      <c r="A982" s="44"/>
      <c r="B982" s="47" t="s">
        <v>26</v>
      </c>
      <c r="C982" s="58" t="s">
        <v>60</v>
      </c>
      <c r="D982" s="60">
        <v>15000000</v>
      </c>
      <c r="E982" s="120">
        <v>0</v>
      </c>
      <c r="F982" s="132">
        <v>0</v>
      </c>
      <c r="G982" s="197">
        <f>750000+225000+ 1500000+750000</f>
        <v>3225000</v>
      </c>
      <c r="H982" s="301">
        <f>G982/D982*100</f>
        <v>21.5</v>
      </c>
      <c r="I982" s="192">
        <f>G982</f>
        <v>3225000</v>
      </c>
      <c r="J982" s="301">
        <f>I982/D982*100</f>
        <v>21.5</v>
      </c>
      <c r="K982" s="339">
        <f>8/12</f>
        <v>0.66666666666666663</v>
      </c>
      <c r="L982" s="311">
        <f>J982</f>
        <v>21.5</v>
      </c>
      <c r="M982" s="132"/>
      <c r="N982" s="161">
        <v>0</v>
      </c>
    </row>
    <row r="983" spans="1:14">
      <c r="A983" s="63"/>
      <c r="B983" s="64"/>
      <c r="C983" s="65" t="s">
        <v>45</v>
      </c>
      <c r="D983" s="66">
        <f>SUM(D982)</f>
        <v>15000000</v>
      </c>
      <c r="E983" s="122">
        <f>SUM(E982:E982)</f>
        <v>0</v>
      </c>
      <c r="F983" s="66">
        <f>SUM(F982:F982)</f>
        <v>0</v>
      </c>
      <c r="G983" s="122">
        <f>G982</f>
        <v>3225000</v>
      </c>
      <c r="H983" s="302">
        <f>G983/D983*100</f>
        <v>21.5</v>
      </c>
      <c r="I983" s="122">
        <f>I982</f>
        <v>3225000</v>
      </c>
      <c r="J983" s="302">
        <f>I983/D983*100</f>
        <v>21.5</v>
      </c>
      <c r="K983" s="333">
        <f>SUM(K982:K982)</f>
        <v>0.66666666666666663</v>
      </c>
      <c r="L983" s="302">
        <f>SUM(L982:L982)</f>
        <v>21.5</v>
      </c>
      <c r="M983" s="66"/>
      <c r="N983" s="161">
        <f t="shared" si="375"/>
        <v>11775000</v>
      </c>
    </row>
    <row r="984" spans="1:14">
      <c r="A984" s="99">
        <v>15</v>
      </c>
      <c r="B984" s="100" t="s">
        <v>77</v>
      </c>
      <c r="C984" s="540"/>
      <c r="D984" s="70"/>
      <c r="E984" s="123"/>
      <c r="F984" s="134"/>
      <c r="G984" s="123"/>
      <c r="H984" s="156"/>
      <c r="I984" s="123"/>
      <c r="J984" s="144"/>
      <c r="K984" s="156"/>
      <c r="L984" s="156"/>
      <c r="M984" s="134"/>
      <c r="N984" s="161">
        <f t="shared" si="375"/>
        <v>0</v>
      </c>
    </row>
    <row r="985" spans="1:14">
      <c r="A985" s="84"/>
      <c r="B985" s="101" t="s">
        <v>78</v>
      </c>
      <c r="C985" s="48"/>
      <c r="D985" s="102"/>
      <c r="E985" s="119"/>
      <c r="F985" s="131"/>
      <c r="G985" s="119"/>
      <c r="H985" s="152"/>
      <c r="I985" s="119"/>
      <c r="J985" s="59"/>
      <c r="K985" s="152"/>
      <c r="L985" s="152"/>
      <c r="M985" s="131"/>
      <c r="N985" s="161">
        <f t="shared" si="375"/>
        <v>0</v>
      </c>
    </row>
    <row r="986" spans="1:14">
      <c r="A986" s="44"/>
      <c r="B986" s="47" t="s">
        <v>26</v>
      </c>
      <c r="C986" s="48" t="s">
        <v>79</v>
      </c>
      <c r="D986" s="60">
        <v>5000000</v>
      </c>
      <c r="E986" s="120">
        <v>0</v>
      </c>
      <c r="F986" s="132">
        <v>0</v>
      </c>
      <c r="G986" s="199">
        <v>5000000</v>
      </c>
      <c r="H986" s="59">
        <f>G986/D986*100</f>
        <v>100</v>
      </c>
      <c r="I986" s="199">
        <f>G986</f>
        <v>5000000</v>
      </c>
      <c r="J986" s="301">
        <f>I986/D986*100</f>
        <v>100</v>
      </c>
      <c r="K986" s="339">
        <f>8/12</f>
        <v>0.66666666666666663</v>
      </c>
      <c r="L986" s="301">
        <f>J986</f>
        <v>100</v>
      </c>
      <c r="M986" s="132"/>
      <c r="N986" s="161">
        <f t="shared" si="375"/>
        <v>0</v>
      </c>
    </row>
    <row r="987" spans="1:14">
      <c r="A987" s="89"/>
      <c r="B987" s="61" t="s">
        <v>80</v>
      </c>
      <c r="C987" s="103" t="s">
        <v>104</v>
      </c>
      <c r="D987" s="91">
        <v>15000000</v>
      </c>
      <c r="E987" s="127">
        <v>0</v>
      </c>
      <c r="F987" s="138">
        <v>0</v>
      </c>
      <c r="G987" s="197">
        <v>15000000</v>
      </c>
      <c r="H987" s="59">
        <f>G987/D987*100</f>
        <v>100</v>
      </c>
      <c r="I987" s="197">
        <f>G987</f>
        <v>15000000</v>
      </c>
      <c r="J987" s="301">
        <f>I987/D987*100</f>
        <v>100</v>
      </c>
      <c r="K987" s="355">
        <f>8/12</f>
        <v>0.66666666666666663</v>
      </c>
      <c r="L987" s="301">
        <f>J987</f>
        <v>100</v>
      </c>
      <c r="M987" s="136"/>
      <c r="N987" s="161">
        <f t="shared" si="375"/>
        <v>0</v>
      </c>
    </row>
    <row r="988" spans="1:14">
      <c r="A988" s="93"/>
      <c r="B988" s="83"/>
      <c r="C988" s="65" t="s">
        <v>45</v>
      </c>
      <c r="D988" s="66">
        <f>SUM(D986:D987)</f>
        <v>20000000</v>
      </c>
      <c r="E988" s="66">
        <f>SUM(E986:E987)</f>
        <v>0</v>
      </c>
      <c r="F988" s="66">
        <f t="shared" ref="F988" si="379">SUM(F986:F987)</f>
        <v>0</v>
      </c>
      <c r="G988" s="122">
        <f>SUM(G986:G987)</f>
        <v>20000000</v>
      </c>
      <c r="H988" s="302">
        <f>G988/D988*100</f>
        <v>100</v>
      </c>
      <c r="I988" s="537">
        <f>SUM(I986:I987)</f>
        <v>20000000</v>
      </c>
      <c r="J988" s="302">
        <f>I988/D988*100</f>
        <v>100</v>
      </c>
      <c r="K988" s="350">
        <f>8/12</f>
        <v>0.66666666666666663</v>
      </c>
      <c r="L988" s="302">
        <f>L987</f>
        <v>100</v>
      </c>
      <c r="M988" s="66"/>
      <c r="N988" s="161">
        <f t="shared" si="375"/>
        <v>0</v>
      </c>
    </row>
    <row r="989" spans="1:14">
      <c r="A989" s="84">
        <v>18</v>
      </c>
      <c r="B989" s="75" t="s">
        <v>82</v>
      </c>
      <c r="C989" s="76"/>
      <c r="D989" s="57"/>
      <c r="E989" s="119"/>
      <c r="F989" s="131"/>
      <c r="G989" s="119"/>
      <c r="H989" s="152"/>
      <c r="I989" s="119"/>
      <c r="J989" s="152"/>
      <c r="K989" s="152"/>
      <c r="L989" s="152"/>
      <c r="M989" s="131"/>
      <c r="N989" s="161">
        <f t="shared" si="375"/>
        <v>0</v>
      </c>
    </row>
    <row r="990" spans="1:14" ht="26.25">
      <c r="A990" s="84"/>
      <c r="B990" s="94" t="s">
        <v>29</v>
      </c>
      <c r="C990" s="48" t="s">
        <v>92</v>
      </c>
      <c r="D990" s="60">
        <v>7500000</v>
      </c>
      <c r="E990" s="120">
        <v>0</v>
      </c>
      <c r="F990" s="132">
        <v>0</v>
      </c>
      <c r="G990" s="199">
        <v>7500000</v>
      </c>
      <c r="H990" s="301">
        <f>G990/D990*100</f>
        <v>100</v>
      </c>
      <c r="I990" s="192">
        <f>G990</f>
        <v>7500000</v>
      </c>
      <c r="J990" s="301">
        <f t="shared" ref="J990" si="380">I990/D990*100</f>
        <v>100</v>
      </c>
      <c r="K990" s="339">
        <f>8/12</f>
        <v>0.66666666666666663</v>
      </c>
      <c r="L990" s="311">
        <f>J990</f>
        <v>100</v>
      </c>
      <c r="M990" s="131"/>
      <c r="N990" s="161">
        <f t="shared" si="375"/>
        <v>0</v>
      </c>
    </row>
    <row r="991" spans="1:14" ht="26.25">
      <c r="A991" s="84"/>
      <c r="B991" s="94" t="s">
        <v>83</v>
      </c>
      <c r="C991" s="48" t="s">
        <v>93</v>
      </c>
      <c r="D991" s="62">
        <v>10000000</v>
      </c>
      <c r="E991" s="121">
        <v>0</v>
      </c>
      <c r="F991" s="133">
        <v>0</v>
      </c>
      <c r="G991" s="200">
        <v>10000000</v>
      </c>
      <c r="H991" s="301">
        <f>G991/D991*100</f>
        <v>100</v>
      </c>
      <c r="I991" s="200">
        <f>G991</f>
        <v>10000000</v>
      </c>
      <c r="J991" s="301">
        <f>I991/D991*100</f>
        <v>100</v>
      </c>
      <c r="K991" s="355">
        <f>8/12</f>
        <v>0.66666666666666663</v>
      </c>
      <c r="L991" s="311">
        <f>J991</f>
        <v>100</v>
      </c>
      <c r="M991" s="131"/>
      <c r="N991" s="161">
        <f t="shared" si="375"/>
        <v>0</v>
      </c>
    </row>
    <row r="992" spans="1:14">
      <c r="A992" s="93"/>
      <c r="B992" s="64"/>
      <c r="C992" s="65" t="s">
        <v>45</v>
      </c>
      <c r="D992" s="66">
        <f>SUM(D990:D991)</f>
        <v>17500000</v>
      </c>
      <c r="E992" s="66">
        <f t="shared" ref="E992:F992" si="381">SUM(E990:E991)</f>
        <v>0</v>
      </c>
      <c r="F992" s="66">
        <f t="shared" si="381"/>
        <v>0</v>
      </c>
      <c r="G992" s="122">
        <f>SUM(G990:G991)</f>
        <v>17500000</v>
      </c>
      <c r="H992" s="302">
        <f>G992/D992*100</f>
        <v>100</v>
      </c>
      <c r="I992" s="122">
        <f t="shared" ref="I992" si="382">SUM(I990:I991)</f>
        <v>17500000</v>
      </c>
      <c r="J992" s="302">
        <f>I992/D992*100</f>
        <v>100</v>
      </c>
      <c r="K992" s="350">
        <f>8/12</f>
        <v>0.66666666666666663</v>
      </c>
      <c r="L992" s="302">
        <f>SUM(L991:L991)</f>
        <v>100</v>
      </c>
      <c r="M992" s="66"/>
      <c r="N992" s="161">
        <f t="shared" si="375"/>
        <v>0</v>
      </c>
    </row>
    <row r="993" spans="1:14">
      <c r="A993" s="99">
        <v>26</v>
      </c>
      <c r="B993" s="104" t="s">
        <v>105</v>
      </c>
      <c r="C993" s="105"/>
      <c r="D993" s="57"/>
      <c r="E993" s="119"/>
      <c r="F993" s="131"/>
      <c r="G993" s="119"/>
      <c r="H993" s="152"/>
      <c r="I993" s="119"/>
      <c r="J993" s="152"/>
      <c r="K993" s="152"/>
      <c r="L993" s="152"/>
      <c r="M993" s="131"/>
      <c r="N993" s="161">
        <f t="shared" si="375"/>
        <v>0</v>
      </c>
    </row>
    <row r="994" spans="1:14">
      <c r="A994" s="44"/>
      <c r="B994" s="47" t="s">
        <v>84</v>
      </c>
      <c r="C994" s="48" t="s">
        <v>106</v>
      </c>
      <c r="D994" s="60">
        <v>5000000</v>
      </c>
      <c r="E994" s="120" t="s">
        <v>132</v>
      </c>
      <c r="F994" s="132">
        <v>0</v>
      </c>
      <c r="G994" s="120" t="s">
        <v>132</v>
      </c>
      <c r="H994" s="59" t="s">
        <v>132</v>
      </c>
      <c r="I994" s="120">
        <v>0</v>
      </c>
      <c r="J994" s="59" t="s">
        <v>132</v>
      </c>
      <c r="K994" s="157">
        <v>0</v>
      </c>
      <c r="L994" s="59">
        <v>0</v>
      </c>
      <c r="M994" s="132"/>
      <c r="N994" s="161">
        <f>D994</f>
        <v>5000000</v>
      </c>
    </row>
    <row r="995" spans="1:14">
      <c r="A995" s="63"/>
      <c r="B995" s="64"/>
      <c r="C995" s="65" t="s">
        <v>45</v>
      </c>
      <c r="D995" s="66">
        <f>SUM(D994)</f>
        <v>5000000</v>
      </c>
      <c r="E995" s="66">
        <v>0</v>
      </c>
      <c r="F995" s="66">
        <f t="shared" ref="F995" si="383">SUM(F992:F994)</f>
        <v>0</v>
      </c>
      <c r="G995" s="122" t="s">
        <v>132</v>
      </c>
      <c r="H995" s="66" t="s">
        <v>132</v>
      </c>
      <c r="I995" s="122" t="s">
        <v>132</v>
      </c>
      <c r="J995" s="66" t="s">
        <v>132</v>
      </c>
      <c r="K995" s="66">
        <f>SUM(K994)</f>
        <v>0</v>
      </c>
      <c r="L995" s="66">
        <v>0</v>
      </c>
      <c r="M995" s="66"/>
      <c r="N995" s="161">
        <v>0</v>
      </c>
    </row>
    <row r="996" spans="1:14">
      <c r="A996" s="99">
        <v>16</v>
      </c>
      <c r="B996" s="104" t="s">
        <v>123</v>
      </c>
      <c r="C996" s="105"/>
      <c r="D996" s="57"/>
      <c r="E996" s="119"/>
      <c r="F996" s="131"/>
      <c r="G996" s="119"/>
      <c r="H996" s="152"/>
      <c r="I996" s="119"/>
      <c r="J996" s="152"/>
      <c r="K996" s="152"/>
      <c r="L996" s="152"/>
      <c r="M996" s="131"/>
      <c r="N996" s="161">
        <v>0</v>
      </c>
    </row>
    <row r="997" spans="1:14">
      <c r="A997" s="84"/>
      <c r="B997" s="185" t="s">
        <v>124</v>
      </c>
      <c r="C997" s="186"/>
      <c r="D997" s="182"/>
      <c r="E997" s="124"/>
      <c r="F997" s="131"/>
      <c r="G997" s="131"/>
      <c r="H997" s="152"/>
      <c r="I997" s="131"/>
      <c r="J997" s="152"/>
      <c r="K997" s="152"/>
      <c r="L997" s="152"/>
      <c r="M997" s="152"/>
      <c r="N997" s="161">
        <f t="shared" si="375"/>
        <v>0</v>
      </c>
    </row>
    <row r="998" spans="1:14" ht="26.25">
      <c r="A998" s="44"/>
      <c r="B998" s="282" t="s">
        <v>46</v>
      </c>
      <c r="C998" s="50" t="s">
        <v>217</v>
      </c>
      <c r="D998" s="60">
        <v>27000000</v>
      </c>
      <c r="E998" s="125">
        <v>0</v>
      </c>
      <c r="F998" s="135">
        <v>0</v>
      </c>
      <c r="G998" s="124">
        <v>0</v>
      </c>
      <c r="H998" s="59" t="s">
        <v>132</v>
      </c>
      <c r="I998" s="124">
        <v>0</v>
      </c>
      <c r="J998" s="59" t="s">
        <v>132</v>
      </c>
      <c r="K998" s="59">
        <v>0</v>
      </c>
      <c r="L998" s="59">
        <v>0</v>
      </c>
      <c r="M998" s="59"/>
      <c r="N998" s="161">
        <f t="shared" si="375"/>
        <v>27000000</v>
      </c>
    </row>
    <row r="999" spans="1:14">
      <c r="A999" s="44"/>
      <c r="B999" s="163" t="s">
        <v>111</v>
      </c>
      <c r="C999" s="204" t="s">
        <v>81</v>
      </c>
      <c r="D999" s="205">
        <v>3000000</v>
      </c>
      <c r="E999" s="125">
        <v>0</v>
      </c>
      <c r="F999" s="135">
        <v>0</v>
      </c>
      <c r="G999" s="201" t="s">
        <v>132</v>
      </c>
      <c r="H999" s="187" t="s">
        <v>132</v>
      </c>
      <c r="I999" s="201" t="s">
        <v>132</v>
      </c>
      <c r="J999" s="187" t="s">
        <v>132</v>
      </c>
      <c r="K999" s="212">
        <v>0</v>
      </c>
      <c r="L999" s="187"/>
      <c r="M999" s="188"/>
      <c r="N999" s="161">
        <f>D999</f>
        <v>3000000</v>
      </c>
    </row>
    <row r="1000" spans="1:14">
      <c r="A1000" s="63"/>
      <c r="B1000" s="64"/>
      <c r="C1000" s="65" t="s">
        <v>45</v>
      </c>
      <c r="D1000" s="66">
        <f>SUM(D998:D999)</f>
        <v>30000000</v>
      </c>
      <c r="E1000" s="66">
        <f>SUM(E998:E999)</f>
        <v>0</v>
      </c>
      <c r="F1000" s="66">
        <f>SUM(F998:F999)</f>
        <v>0</v>
      </c>
      <c r="G1000" s="122" t="s">
        <v>132</v>
      </c>
      <c r="H1000" s="66" t="s">
        <v>132</v>
      </c>
      <c r="I1000" s="122">
        <f>SUM(I998:I999)</f>
        <v>0</v>
      </c>
      <c r="J1000" s="66" t="s">
        <v>132</v>
      </c>
      <c r="K1000" s="66">
        <f>SUM(K998:K999)</f>
        <v>0</v>
      </c>
      <c r="L1000" s="66">
        <f>SUM(L998:L999)</f>
        <v>0</v>
      </c>
      <c r="M1000" s="66"/>
      <c r="N1000" s="161">
        <v>0</v>
      </c>
    </row>
    <row r="1001" spans="1:14">
      <c r="A1001" s="99">
        <v>17</v>
      </c>
      <c r="B1001" s="104" t="s">
        <v>127</v>
      </c>
      <c r="C1001" s="105"/>
      <c r="D1001" s="57"/>
      <c r="E1001" s="119"/>
      <c r="F1001" s="131"/>
      <c r="G1001" s="119"/>
      <c r="H1001" s="152"/>
      <c r="I1001" s="119"/>
      <c r="J1001" s="152"/>
      <c r="K1001" s="152"/>
      <c r="L1001" s="152"/>
      <c r="M1001" s="131"/>
      <c r="N1001" s="161">
        <v>0</v>
      </c>
    </row>
    <row r="1002" spans="1:14" ht="26.25">
      <c r="A1002" s="44"/>
      <c r="B1002" s="47" t="s">
        <v>84</v>
      </c>
      <c r="C1002" s="48" t="s">
        <v>128</v>
      </c>
      <c r="D1002" s="60">
        <v>10000000</v>
      </c>
      <c r="E1002" s="120">
        <v>0</v>
      </c>
      <c r="F1002" s="132">
        <v>0</v>
      </c>
      <c r="G1002" s="120" t="s">
        <v>132</v>
      </c>
      <c r="H1002" s="59" t="s">
        <v>132</v>
      </c>
      <c r="I1002" s="120">
        <v>0</v>
      </c>
      <c r="J1002" s="59" t="s">
        <v>132</v>
      </c>
      <c r="K1002" s="157">
        <v>0</v>
      </c>
      <c r="L1002" s="59">
        <v>0</v>
      </c>
      <c r="M1002" s="132"/>
      <c r="N1002" s="161">
        <f>D1002</f>
        <v>10000000</v>
      </c>
    </row>
    <row r="1003" spans="1:14">
      <c r="A1003" s="63"/>
      <c r="B1003" s="64"/>
      <c r="C1003" s="65" t="s">
        <v>45</v>
      </c>
      <c r="D1003" s="66">
        <f>SUM(D1002)</f>
        <v>10000000</v>
      </c>
      <c r="E1003" s="66">
        <f t="shared" ref="E1003:F1003" si="384">SUM(E1000:E1002)</f>
        <v>0</v>
      </c>
      <c r="F1003" s="66">
        <f t="shared" si="384"/>
        <v>0</v>
      </c>
      <c r="G1003" s="122" t="s">
        <v>132</v>
      </c>
      <c r="H1003" s="66" t="s">
        <v>132</v>
      </c>
      <c r="I1003" s="122" t="s">
        <v>132</v>
      </c>
      <c r="J1003" s="66" t="s">
        <v>132</v>
      </c>
      <c r="K1003" s="66">
        <f>SUM(K1002)</f>
        <v>0</v>
      </c>
      <c r="L1003" s="66">
        <v>0</v>
      </c>
      <c r="M1003" s="66"/>
      <c r="N1003" s="161">
        <v>0</v>
      </c>
    </row>
    <row r="1004" spans="1:14">
      <c r="A1004" s="44">
        <v>18</v>
      </c>
      <c r="B1004" s="104" t="s">
        <v>218</v>
      </c>
      <c r="C1004" s="105"/>
      <c r="D1004" s="70"/>
      <c r="E1004" s="70"/>
      <c r="F1004" s="70"/>
      <c r="G1004" s="287"/>
      <c r="H1004" s="70"/>
      <c r="I1004" s="287"/>
      <c r="J1004" s="70"/>
      <c r="K1004" s="70"/>
      <c r="L1004" s="70"/>
      <c r="M1004" s="70"/>
      <c r="N1004" s="161">
        <v>0</v>
      </c>
    </row>
    <row r="1005" spans="1:14" ht="25.5">
      <c r="A1005" s="44"/>
      <c r="B1005" s="283" t="s">
        <v>83</v>
      </c>
      <c r="C1005" s="284" t="s">
        <v>219</v>
      </c>
      <c r="D1005" s="288">
        <v>50000000</v>
      </c>
      <c r="E1005" s="285">
        <v>0</v>
      </c>
      <c r="F1005" s="285">
        <v>0</v>
      </c>
      <c r="G1005" s="286">
        <v>0</v>
      </c>
      <c r="H1005" s="285">
        <v>0</v>
      </c>
      <c r="I1005" s="286">
        <v>0</v>
      </c>
      <c r="J1005" s="285">
        <v>0</v>
      </c>
      <c r="K1005" s="157">
        <v>0</v>
      </c>
      <c r="L1005" s="285">
        <v>0</v>
      </c>
      <c r="M1005" s="285"/>
      <c r="N1005" s="161">
        <v>0</v>
      </c>
    </row>
    <row r="1006" spans="1:14">
      <c r="A1006" s="63"/>
      <c r="B1006" s="64"/>
      <c r="C1006" s="65" t="s">
        <v>45</v>
      </c>
      <c r="D1006" s="66">
        <f>SUM(D1005)</f>
        <v>50000000</v>
      </c>
      <c r="E1006" s="66">
        <v>0</v>
      </c>
      <c r="F1006" s="66">
        <v>0</v>
      </c>
      <c r="G1006" s="122">
        <v>0</v>
      </c>
      <c r="H1006" s="66">
        <v>0</v>
      </c>
      <c r="I1006" s="122">
        <v>0</v>
      </c>
      <c r="J1006" s="66">
        <v>0</v>
      </c>
      <c r="K1006" s="66">
        <f>SUM(K1005)</f>
        <v>0</v>
      </c>
      <c r="L1006" s="66">
        <v>0</v>
      </c>
      <c r="M1006" s="66"/>
      <c r="N1006" s="161">
        <f t="shared" si="375"/>
        <v>50000000</v>
      </c>
    </row>
    <row r="1007" spans="1:14">
      <c r="A1007" s="44">
        <v>24</v>
      </c>
      <c r="B1007" s="104" t="s">
        <v>221</v>
      </c>
      <c r="C1007" s="105"/>
      <c r="D1007" s="70"/>
      <c r="E1007" s="70"/>
      <c r="F1007" s="70"/>
      <c r="G1007" s="287"/>
      <c r="H1007" s="70"/>
      <c r="I1007" s="287"/>
      <c r="J1007" s="70"/>
      <c r="K1007" s="70"/>
      <c r="L1007" s="70"/>
      <c r="M1007" s="70"/>
      <c r="N1007" s="161">
        <f t="shared" si="375"/>
        <v>0</v>
      </c>
    </row>
    <row r="1008" spans="1:14">
      <c r="A1008" s="44"/>
      <c r="B1008" s="283" t="s">
        <v>83</v>
      </c>
      <c r="C1008" s="284" t="s">
        <v>222</v>
      </c>
      <c r="D1008" s="288">
        <v>50000000</v>
      </c>
      <c r="E1008" s="285">
        <v>0</v>
      </c>
      <c r="F1008" s="285">
        <v>0</v>
      </c>
      <c r="G1008" s="286">
        <v>0</v>
      </c>
      <c r="H1008" s="285">
        <v>0</v>
      </c>
      <c r="I1008" s="286">
        <v>0</v>
      </c>
      <c r="J1008" s="285">
        <v>0</v>
      </c>
      <c r="K1008" s="157">
        <v>0</v>
      </c>
      <c r="L1008" s="285">
        <v>0</v>
      </c>
      <c r="M1008" s="285"/>
      <c r="N1008" s="161">
        <v>0</v>
      </c>
    </row>
    <row r="1009" spans="1:15">
      <c r="A1009" s="63"/>
      <c r="B1009" s="64"/>
      <c r="C1009" s="65" t="s">
        <v>45</v>
      </c>
      <c r="D1009" s="66">
        <f>SUM(D1008)</f>
        <v>50000000</v>
      </c>
      <c r="E1009" s="66">
        <v>0</v>
      </c>
      <c r="F1009" s="66">
        <v>0</v>
      </c>
      <c r="G1009" s="122">
        <v>0</v>
      </c>
      <c r="H1009" s="66">
        <v>0</v>
      </c>
      <c r="I1009" s="122">
        <v>0</v>
      </c>
      <c r="J1009" s="66">
        <v>0</v>
      </c>
      <c r="K1009" s="66">
        <f>SUM(K1008)</f>
        <v>0</v>
      </c>
      <c r="L1009" s="66">
        <v>0</v>
      </c>
      <c r="M1009" s="66"/>
      <c r="N1009" s="161">
        <f t="shared" si="375"/>
        <v>50000000</v>
      </c>
    </row>
    <row r="1010" spans="1:15" ht="15.75" thickBot="1">
      <c r="A1010" s="166"/>
      <c r="B1010" s="167" t="s">
        <v>85</v>
      </c>
      <c r="C1010" s="106"/>
      <c r="D1010" s="107">
        <f>D904+D901</f>
        <v>3251325000</v>
      </c>
      <c r="E1010" s="107">
        <f>E904+E901</f>
        <v>0</v>
      </c>
      <c r="F1010" s="107">
        <f>F904+F901</f>
        <v>0</v>
      </c>
      <c r="G1010" s="107">
        <f>G901+G904</f>
        <v>1948389633</v>
      </c>
      <c r="H1010" s="213">
        <f>G1010/D1010*100</f>
        <v>59.926018869230234</v>
      </c>
      <c r="I1010" s="107">
        <f>I904+I901</f>
        <v>1948389633</v>
      </c>
      <c r="J1010" s="213">
        <f>I1010/D1010*100</f>
        <v>59.926018869230234</v>
      </c>
      <c r="K1010" s="425">
        <f>8/12</f>
        <v>0.66666666666666663</v>
      </c>
      <c r="L1010" s="213">
        <f>J1010</f>
        <v>59.926018869230234</v>
      </c>
      <c r="M1010" s="158"/>
      <c r="N1010" s="161">
        <f>SUM(N906:N1009)</f>
        <v>361744499</v>
      </c>
      <c r="O1010" s="544">
        <f>D1010-G1010</f>
        <v>1302935367</v>
      </c>
    </row>
    <row r="1011" spans="1:15" ht="15.75" thickTop="1">
      <c r="A1011" s="342"/>
      <c r="B1011" s="343"/>
      <c r="C1011" s="344"/>
      <c r="D1011" s="345"/>
      <c r="E1011" s="345"/>
      <c r="F1011" s="345"/>
      <c r="G1011" s="668"/>
      <c r="H1011" s="529"/>
      <c r="I1011" s="345"/>
      <c r="J1011" s="346"/>
      <c r="K1011" s="347"/>
      <c r="L1011" s="346"/>
      <c r="M1011" s="348"/>
      <c r="O1011" s="660" t="s">
        <v>537</v>
      </c>
    </row>
    <row r="1012" spans="1:15">
      <c r="A1012" s="168"/>
      <c r="B1012" s="169"/>
      <c r="C1012" s="170"/>
      <c r="D1012" s="171"/>
      <c r="E1012" s="108"/>
      <c r="G1012" s="526"/>
      <c r="H1012" s="128"/>
      <c r="I1012" s="159" t="s">
        <v>536</v>
      </c>
      <c r="J1012" s="128"/>
      <c r="L1012" s="128"/>
      <c r="M1012" s="128"/>
    </row>
    <row r="1013" spans="1:15">
      <c r="A1013" s="172"/>
      <c r="B1013" s="169"/>
      <c r="C1013" s="173"/>
      <c r="D1013" s="171"/>
      <c r="E1013" s="174"/>
      <c r="H1013" s="128"/>
      <c r="I1013" s="159" t="s">
        <v>86</v>
      </c>
      <c r="J1013" s="128"/>
      <c r="L1013" s="128"/>
      <c r="M1013" s="128"/>
    </row>
    <row r="1014" spans="1:15">
      <c r="A1014" s="172"/>
      <c r="B1014" s="169"/>
      <c r="C1014" s="173"/>
      <c r="D1014" s="171"/>
      <c r="E1014" s="174"/>
      <c r="H1014" s="128"/>
      <c r="I1014" s="159"/>
      <c r="J1014" s="128"/>
      <c r="L1014" s="128"/>
      <c r="M1014" s="128"/>
    </row>
    <row r="1015" spans="1:15">
      <c r="A1015" s="172"/>
      <c r="B1015" s="169"/>
      <c r="C1015" s="173"/>
      <c r="D1015" s="171"/>
      <c r="E1015" s="108"/>
      <c r="H1015" s="128"/>
      <c r="I1015" s="159"/>
      <c r="J1015" s="128"/>
      <c r="L1015" s="128"/>
      <c r="M1015" s="128"/>
    </row>
    <row r="1016" spans="1:15">
      <c r="A1016" s="175"/>
      <c r="B1016" s="176"/>
      <c r="C1016" s="177"/>
      <c r="D1016" s="171"/>
      <c r="E1016" s="108"/>
      <c r="G1016" s="128" t="s">
        <v>227</v>
      </c>
      <c r="H1016" s="128"/>
      <c r="I1016" s="160" t="s">
        <v>120</v>
      </c>
      <c r="J1016" s="128"/>
      <c r="L1016" s="128"/>
      <c r="M1016" s="128"/>
    </row>
    <row r="1017" spans="1:15">
      <c r="A1017" s="175"/>
      <c r="B1017" s="176"/>
      <c r="C1017" s="177"/>
      <c r="D1017" s="175"/>
      <c r="E1017" s="108"/>
      <c r="H1017" s="128"/>
      <c r="I1017" s="159" t="s">
        <v>491</v>
      </c>
      <c r="J1017" s="128"/>
      <c r="L1017" s="128"/>
      <c r="M1017" s="128"/>
    </row>
    <row r="1018" spans="1:15">
      <c r="A1018" s="175"/>
      <c r="B1018" s="176"/>
      <c r="C1018" s="177"/>
      <c r="D1018" s="175"/>
      <c r="E1018" s="108"/>
      <c r="H1018" s="128"/>
      <c r="I1018" s="159" t="s">
        <v>121</v>
      </c>
      <c r="J1018" s="128"/>
      <c r="L1018" s="128"/>
      <c r="M1018" s="128"/>
    </row>
    <row r="1019" spans="1:15" ht="15.75">
      <c r="A1019" s="832" t="s">
        <v>223</v>
      </c>
      <c r="B1019" s="832"/>
      <c r="C1019" s="832"/>
      <c r="D1019" s="832"/>
      <c r="E1019" s="832"/>
      <c r="F1019" s="832"/>
      <c r="G1019" s="832"/>
      <c r="H1019" s="832"/>
      <c r="I1019" s="832"/>
      <c r="J1019" s="832"/>
      <c r="K1019" s="832"/>
      <c r="L1019" s="832"/>
      <c r="M1019" s="832"/>
    </row>
    <row r="1020" spans="1:15" ht="15.75">
      <c r="A1020" s="832" t="s">
        <v>224</v>
      </c>
      <c r="B1020" s="832"/>
      <c r="C1020" s="832"/>
      <c r="D1020" s="832"/>
      <c r="E1020" s="832"/>
      <c r="F1020" s="832"/>
      <c r="G1020" s="832"/>
      <c r="H1020" s="832"/>
      <c r="I1020" s="832"/>
      <c r="J1020" s="832"/>
      <c r="K1020" s="832"/>
      <c r="L1020" s="832"/>
      <c r="M1020" s="832"/>
    </row>
    <row r="1021" spans="1:15" ht="15.75">
      <c r="A1021" s="665"/>
      <c r="B1021" s="665"/>
      <c r="C1021" s="665"/>
      <c r="D1021" s="665"/>
      <c r="E1021" s="665"/>
      <c r="F1021" s="665"/>
      <c r="G1021" s="303"/>
      <c r="H1021" s="665"/>
      <c r="I1021" s="665"/>
      <c r="J1021" s="665"/>
      <c r="K1021" s="303"/>
      <c r="L1021" s="665"/>
      <c r="M1021" s="665"/>
    </row>
    <row r="1022" spans="1:15" ht="16.5">
      <c r="A1022" s="1" t="s">
        <v>213</v>
      </c>
      <c r="B1022" s="2"/>
      <c r="C1022" s="3" t="s">
        <v>2</v>
      </c>
      <c r="E1022" s="108"/>
      <c r="G1022" s="669"/>
      <c r="H1022" s="4"/>
      <c r="I1022" s="5"/>
      <c r="J1022" s="4"/>
      <c r="M1022" s="4"/>
    </row>
    <row r="1023" spans="1:15" ht="17.25" thickBot="1">
      <c r="A1023" s="14" t="s">
        <v>225</v>
      </c>
      <c r="B1023" s="14"/>
      <c r="C1023" s="292" t="s">
        <v>538</v>
      </c>
      <c r="D1023" s="129"/>
      <c r="E1023" s="109"/>
      <c r="F1023" s="129"/>
      <c r="G1023" s="305"/>
      <c r="H1023" s="14"/>
      <c r="I1023" s="16"/>
      <c r="J1023" s="14"/>
      <c r="K1023" s="129"/>
      <c r="L1023" s="15"/>
      <c r="M1023" s="14"/>
    </row>
    <row r="1024" spans="1:15" ht="15.75" thickTop="1">
      <c r="A1024" s="833" t="s">
        <v>3</v>
      </c>
      <c r="B1024" s="836" t="s">
        <v>4</v>
      </c>
      <c r="C1024" s="837"/>
      <c r="D1024" s="289" t="s">
        <v>5</v>
      </c>
      <c r="E1024" s="110" t="s">
        <v>6</v>
      </c>
      <c r="F1024" s="130"/>
      <c r="G1024" s="842" t="s">
        <v>7</v>
      </c>
      <c r="H1024" s="843"/>
      <c r="I1024" s="843"/>
      <c r="J1024" s="843"/>
      <c r="K1024" s="844" t="s">
        <v>8</v>
      </c>
      <c r="L1024" s="844"/>
      <c r="M1024" s="833" t="s">
        <v>9</v>
      </c>
    </row>
    <row r="1025" spans="1:15">
      <c r="A1025" s="834"/>
      <c r="B1025" s="838"/>
      <c r="C1025" s="839"/>
      <c r="D1025" s="290" t="s">
        <v>10</v>
      </c>
      <c r="E1025" s="111" t="s">
        <v>11</v>
      </c>
      <c r="F1025" s="111" t="s">
        <v>12</v>
      </c>
      <c r="G1025" s="111" t="s">
        <v>13</v>
      </c>
      <c r="H1025" s="845" t="s">
        <v>14</v>
      </c>
      <c r="I1025" s="6" t="s">
        <v>15</v>
      </c>
      <c r="J1025" s="846" t="s">
        <v>14</v>
      </c>
      <c r="K1025" s="321" t="s">
        <v>16</v>
      </c>
      <c r="L1025" s="7" t="s">
        <v>17</v>
      </c>
      <c r="M1025" s="834"/>
    </row>
    <row r="1026" spans="1:15">
      <c r="A1026" s="835"/>
      <c r="B1026" s="840"/>
      <c r="C1026" s="841"/>
      <c r="D1026" s="291" t="s">
        <v>18</v>
      </c>
      <c r="E1026" s="112" t="s">
        <v>18</v>
      </c>
      <c r="F1026" s="112"/>
      <c r="G1026" s="306" t="s">
        <v>19</v>
      </c>
      <c r="H1026" s="835"/>
      <c r="I1026" s="8" t="s">
        <v>19</v>
      </c>
      <c r="J1026" s="847"/>
      <c r="K1026" s="322" t="s">
        <v>233</v>
      </c>
      <c r="L1026" s="9" t="s">
        <v>233</v>
      </c>
      <c r="M1026" s="835"/>
    </row>
    <row r="1027" spans="1:15" ht="15.75" thickBot="1">
      <c r="A1027" s="17">
        <v>1</v>
      </c>
      <c r="B1027" s="828">
        <v>2</v>
      </c>
      <c r="C1027" s="829"/>
      <c r="D1027" s="113">
        <v>3</v>
      </c>
      <c r="E1027" s="113">
        <v>4</v>
      </c>
      <c r="F1027" s="113">
        <v>5</v>
      </c>
      <c r="G1027" s="113">
        <v>6</v>
      </c>
      <c r="H1027" s="18">
        <v>7</v>
      </c>
      <c r="I1027" s="18">
        <v>8</v>
      </c>
      <c r="J1027" s="18">
        <v>9</v>
      </c>
      <c r="K1027" s="113">
        <v>10</v>
      </c>
      <c r="L1027" s="18">
        <v>11</v>
      </c>
      <c r="M1027" s="18">
        <v>12</v>
      </c>
    </row>
    <row r="1028" spans="1:15" ht="15.75" thickBot="1">
      <c r="A1028" s="35" t="s">
        <v>20</v>
      </c>
      <c r="B1028" s="36" t="s">
        <v>21</v>
      </c>
      <c r="C1028" s="37"/>
      <c r="D1028" s="30">
        <f>D1029+D1030</f>
        <v>2257113000</v>
      </c>
      <c r="E1028" s="30">
        <f>E1029</f>
        <v>0</v>
      </c>
      <c r="F1028" s="30">
        <v>0</v>
      </c>
      <c r="G1028" s="30">
        <f>G1029+G1030</f>
        <v>1404863133</v>
      </c>
      <c r="H1028" s="214">
        <f>G1028/D1028*100</f>
        <v>62.24159503755461</v>
      </c>
      <c r="I1028" s="30">
        <f>G1028</f>
        <v>1404863133</v>
      </c>
      <c r="J1028" s="217">
        <f>I1028/D1028*100</f>
        <v>62.24159503755461</v>
      </c>
      <c r="K1028" s="332">
        <f>9/12</f>
        <v>0.75</v>
      </c>
      <c r="L1028" s="215">
        <f>J1028</f>
        <v>62.24159503755461</v>
      </c>
      <c r="M1028" s="53"/>
    </row>
    <row r="1029" spans="1:15" ht="15.75" thickBot="1">
      <c r="A1029" s="38" t="s">
        <v>22</v>
      </c>
      <c r="B1029" s="39" t="s">
        <v>23</v>
      </c>
      <c r="C1029" s="40"/>
      <c r="D1029" s="31">
        <v>1872153000</v>
      </c>
      <c r="E1029" s="114">
        <v>0</v>
      </c>
      <c r="F1029" s="30">
        <v>0</v>
      </c>
      <c r="G1029" s="30">
        <v>1204513133</v>
      </c>
      <c r="H1029" s="214">
        <f>G1029/D1029*100</f>
        <v>64.338391840837801</v>
      </c>
      <c r="I1029" s="296">
        <f>G1029</f>
        <v>1204513133</v>
      </c>
      <c r="J1029" s="217">
        <f>I1029/D1029*100</f>
        <v>64.338391840837801</v>
      </c>
      <c r="K1029" s="332">
        <f>9/12</f>
        <v>0.75</v>
      </c>
      <c r="L1029" s="215">
        <f>J1029</f>
        <v>64.338391840837801</v>
      </c>
      <c r="M1029" s="146"/>
    </row>
    <row r="1030" spans="1:15" ht="15.75" thickBot="1">
      <c r="A1030" s="139"/>
      <c r="B1030" s="140" t="s">
        <v>107</v>
      </c>
      <c r="C1030" s="141"/>
      <c r="D1030" s="31">
        <v>384960000</v>
      </c>
      <c r="E1030" s="114">
        <v>0</v>
      </c>
      <c r="F1030" s="30">
        <v>0</v>
      </c>
      <c r="G1030" s="351">
        <v>200350000</v>
      </c>
      <c r="H1030" s="214">
        <f>G1030/D1030*100</f>
        <v>52.04436824605154</v>
      </c>
      <c r="I1030" s="296">
        <f>G1030</f>
        <v>200350000</v>
      </c>
      <c r="J1030" s="217">
        <f>I1030/D1030*100</f>
        <v>52.04436824605154</v>
      </c>
      <c r="K1030" s="332">
        <f>9/12</f>
        <v>0.75</v>
      </c>
      <c r="L1030" s="215">
        <f>J1030</f>
        <v>52.04436824605154</v>
      </c>
      <c r="M1030" s="149"/>
      <c r="O1030" s="544">
        <v>79536960</v>
      </c>
    </row>
    <row r="1031" spans="1:15" ht="15.75" thickBot="1">
      <c r="A1031" s="35" t="s">
        <v>24</v>
      </c>
      <c r="B1031" s="36" t="s">
        <v>25</v>
      </c>
      <c r="C1031" s="37"/>
      <c r="D1031" s="30">
        <f>D1048+D1058+D1061+D1065+D1068+D1071+D1077+D1080+D1084+D1087+D1091+D1094+D1097+D1100+D1104+D1107+D1110+D1115+D1119+D1122+D1127+D1130+D1133+D1136</f>
        <v>994212000</v>
      </c>
      <c r="E1031" s="30">
        <v>0</v>
      </c>
      <c r="F1031" s="30">
        <v>0</v>
      </c>
      <c r="G1031" s="30">
        <f>G1048+G1058+G1087+G1091+G1107+G1110+G1097+G1100+G1104+G1119+G1071+G1084+G1115+G1068+G1065+G1094+G1080+G1077+G1122+G1133</f>
        <v>702951431</v>
      </c>
      <c r="H1031" s="215">
        <f>G1031/D1031*100</f>
        <v>70.704380051739463</v>
      </c>
      <c r="I1031" s="296">
        <f>G1031</f>
        <v>702951431</v>
      </c>
      <c r="J1031" s="217">
        <f>I1031/D1031*100</f>
        <v>70.704380051739463</v>
      </c>
      <c r="K1031" s="332">
        <f>9/12</f>
        <v>0.75</v>
      </c>
      <c r="L1031" s="215">
        <f>J1031</f>
        <v>70.704380051739463</v>
      </c>
      <c r="M1031" s="30"/>
      <c r="N1031" s="161">
        <v>61999930</v>
      </c>
      <c r="O1031" s="544">
        <f>D1031-G1031</f>
        <v>291260569</v>
      </c>
    </row>
    <row r="1032" spans="1:15">
      <c r="A1032" s="41" t="s">
        <v>26</v>
      </c>
      <c r="B1032" s="42" t="s">
        <v>27</v>
      </c>
      <c r="C1032" s="43"/>
      <c r="D1032" s="32"/>
      <c r="E1032" s="115"/>
      <c r="F1032" s="32"/>
      <c r="G1032" s="150"/>
      <c r="H1032" s="151"/>
      <c r="I1032" s="191"/>
      <c r="J1032" s="150"/>
      <c r="K1032" s="32"/>
      <c r="L1032" s="32"/>
      <c r="M1032" s="32"/>
      <c r="N1032" s="161">
        <f>G1031+N1031</f>
        <v>764951361</v>
      </c>
      <c r="O1032" s="544">
        <f>O1031-O1030</f>
        <v>211723609</v>
      </c>
    </row>
    <row r="1033" spans="1:15">
      <c r="A1033" s="44"/>
      <c r="B1033" s="45" t="s">
        <v>26</v>
      </c>
      <c r="C1033" s="46" t="s">
        <v>28</v>
      </c>
      <c r="D1033" s="525">
        <v>6000000</v>
      </c>
      <c r="E1033" s="116">
        <v>0</v>
      </c>
      <c r="F1033" s="131">
        <v>0</v>
      </c>
      <c r="G1033" s="192">
        <f>999000+501000+250000+250000+250000+250000+249000</f>
        <v>2749000</v>
      </c>
      <c r="H1033" s="299">
        <f>G1033/D1033*100</f>
        <v>45.81666666666667</v>
      </c>
      <c r="I1033" s="192">
        <f>G1033</f>
        <v>2749000</v>
      </c>
      <c r="J1033" s="301">
        <f>H1033</f>
        <v>45.81666666666667</v>
      </c>
      <c r="K1033" s="331">
        <f>9/12</f>
        <v>0.75</v>
      </c>
      <c r="L1033" s="311">
        <f>J1033</f>
        <v>45.81666666666667</v>
      </c>
      <c r="M1033" s="131"/>
    </row>
    <row r="1034" spans="1:15">
      <c r="A1034" s="44"/>
      <c r="B1034" s="47" t="s">
        <v>29</v>
      </c>
      <c r="C1034" s="48" t="s">
        <v>30</v>
      </c>
      <c r="D1034" s="34">
        <v>8000000</v>
      </c>
      <c r="E1034" s="297">
        <v>0</v>
      </c>
      <c r="F1034" s="132">
        <v>0</v>
      </c>
      <c r="G1034" s="192">
        <v>1971793</v>
      </c>
      <c r="H1034" s="299">
        <f t="shared" ref="H1034:H1035" si="385">G1034/D1034*100</f>
        <v>24.647412499999998</v>
      </c>
      <c r="I1034" s="192">
        <f>G1034</f>
        <v>1971793</v>
      </c>
      <c r="J1034" s="301">
        <f>I1034/D1034*100</f>
        <v>24.647412499999998</v>
      </c>
      <c r="K1034" s="331">
        <f t="shared" ref="K1034:K1046" si="386">9/12</f>
        <v>0.75</v>
      </c>
      <c r="L1034" s="311">
        <f t="shared" ref="L1034:L1047" si="387">J1034</f>
        <v>24.647412499999998</v>
      </c>
      <c r="M1034" s="132"/>
      <c r="N1034" s="192">
        <v>1971793</v>
      </c>
      <c r="O1034" s="667"/>
    </row>
    <row r="1035" spans="1:15">
      <c r="A1035" s="44"/>
      <c r="B1035" s="47" t="s">
        <v>29</v>
      </c>
      <c r="C1035" s="48" t="s">
        <v>31</v>
      </c>
      <c r="D1035" s="34">
        <v>5000000</v>
      </c>
      <c r="E1035" s="297">
        <v>0</v>
      </c>
      <c r="F1035" s="132">
        <v>0</v>
      </c>
      <c r="G1035" s="192">
        <v>2261950</v>
      </c>
      <c r="H1035" s="299">
        <f t="shared" si="385"/>
        <v>45.239000000000004</v>
      </c>
      <c r="I1035" s="192">
        <f t="shared" ref="I1035:I1036" si="388">G1035</f>
        <v>2261950</v>
      </c>
      <c r="J1035" s="301">
        <f t="shared" ref="J1035:J1044" si="389">I1035/D1035*100</f>
        <v>45.239000000000004</v>
      </c>
      <c r="K1035" s="331">
        <f t="shared" si="386"/>
        <v>0.75</v>
      </c>
      <c r="L1035" s="311">
        <f t="shared" si="387"/>
        <v>45.239000000000004</v>
      </c>
      <c r="M1035" s="132"/>
      <c r="N1035" s="192">
        <v>2261950</v>
      </c>
      <c r="O1035" s="667"/>
    </row>
    <row r="1036" spans="1:15">
      <c r="A1036" s="44"/>
      <c r="B1036" s="47" t="s">
        <v>29</v>
      </c>
      <c r="C1036" s="48" t="s">
        <v>32</v>
      </c>
      <c r="D1036" s="34">
        <v>12000000</v>
      </c>
      <c r="E1036" s="297">
        <v>0</v>
      </c>
      <c r="F1036" s="132">
        <v>0</v>
      </c>
      <c r="G1036" s="192">
        <v>4903288</v>
      </c>
      <c r="H1036" s="299">
        <f>G1036/D1036*100</f>
        <v>40.860733333333329</v>
      </c>
      <c r="I1036" s="192">
        <f t="shared" si="388"/>
        <v>4903288</v>
      </c>
      <c r="J1036" s="301">
        <f t="shared" si="389"/>
        <v>40.860733333333329</v>
      </c>
      <c r="K1036" s="331">
        <f t="shared" si="386"/>
        <v>0.75</v>
      </c>
      <c r="L1036" s="311">
        <f t="shared" si="387"/>
        <v>40.860733333333329</v>
      </c>
      <c r="M1036" s="132"/>
      <c r="N1036" s="192">
        <v>4903288</v>
      </c>
      <c r="O1036" s="667"/>
    </row>
    <row r="1037" spans="1:15">
      <c r="A1037" s="44"/>
      <c r="B1037" s="47" t="s">
        <v>33</v>
      </c>
      <c r="C1037" s="48" t="s">
        <v>34</v>
      </c>
      <c r="D1037" s="34">
        <v>12105000</v>
      </c>
      <c r="E1037" s="117">
        <v>0</v>
      </c>
      <c r="F1037" s="132">
        <v>0</v>
      </c>
      <c r="G1037" s="192">
        <v>7000000</v>
      </c>
      <c r="H1037" s="299">
        <f t="shared" ref="H1037:H1047" si="390">G1037/D1037*100</f>
        <v>57.82734407269723</v>
      </c>
      <c r="I1037" s="192">
        <f>G1037</f>
        <v>7000000</v>
      </c>
      <c r="J1037" s="301">
        <f t="shared" si="389"/>
        <v>57.82734407269723</v>
      </c>
      <c r="K1037" s="331">
        <f t="shared" si="386"/>
        <v>0.75</v>
      </c>
      <c r="L1037" s="311">
        <f t="shared" si="387"/>
        <v>57.82734407269723</v>
      </c>
      <c r="M1037" s="132"/>
      <c r="N1037" s="161">
        <f>SUM(N1034:N1036)</f>
        <v>9137031</v>
      </c>
    </row>
    <row r="1038" spans="1:15">
      <c r="A1038" s="44"/>
      <c r="B1038" s="47">
        <v>10</v>
      </c>
      <c r="C1038" s="48" t="s">
        <v>35</v>
      </c>
      <c r="D1038" s="34">
        <v>11895000</v>
      </c>
      <c r="E1038" s="117">
        <v>0</v>
      </c>
      <c r="F1038" s="132">
        <v>0</v>
      </c>
      <c r="G1038" s="192">
        <f>1500000+1000000+1000000+2250000+1000000+750000</f>
        <v>7500000</v>
      </c>
      <c r="H1038" s="299">
        <f t="shared" si="390"/>
        <v>63.051702395964696</v>
      </c>
      <c r="I1038" s="192">
        <f t="shared" ref="I1038:I1041" si="391">G1038</f>
        <v>7500000</v>
      </c>
      <c r="J1038" s="301">
        <f t="shared" si="389"/>
        <v>63.051702395964696</v>
      </c>
      <c r="K1038" s="331">
        <f t="shared" si="386"/>
        <v>0.75</v>
      </c>
      <c r="L1038" s="311">
        <f t="shared" si="387"/>
        <v>63.051702395964696</v>
      </c>
      <c r="M1038" s="132"/>
    </row>
    <row r="1039" spans="1:15">
      <c r="A1039" s="44"/>
      <c r="B1039" s="47">
        <v>11</v>
      </c>
      <c r="C1039" s="48" t="s">
        <v>36</v>
      </c>
      <c r="D1039" s="34">
        <v>6000000</v>
      </c>
      <c r="E1039" s="117">
        <v>0</v>
      </c>
      <c r="F1039" s="132">
        <v>0</v>
      </c>
      <c r="G1039" s="192">
        <f>1000000+500000+750000+1700000+200000+350000</f>
        <v>4500000</v>
      </c>
      <c r="H1039" s="299">
        <f t="shared" si="390"/>
        <v>75</v>
      </c>
      <c r="I1039" s="192">
        <f t="shared" si="391"/>
        <v>4500000</v>
      </c>
      <c r="J1039" s="301">
        <f t="shared" si="389"/>
        <v>75</v>
      </c>
      <c r="K1039" s="331">
        <f t="shared" si="386"/>
        <v>0.75</v>
      </c>
      <c r="L1039" s="311">
        <f t="shared" si="387"/>
        <v>75</v>
      </c>
      <c r="M1039" s="132"/>
      <c r="N1039" s="192">
        <f>1000000+500000+750000+1700000+200000+350000</f>
        <v>4500000</v>
      </c>
    </row>
    <row r="1040" spans="1:15">
      <c r="A1040" s="44"/>
      <c r="B1040" s="47">
        <v>11</v>
      </c>
      <c r="C1040" s="48" t="s">
        <v>37</v>
      </c>
      <c r="D1040" s="34">
        <v>18000000</v>
      </c>
      <c r="E1040" s="117">
        <v>0</v>
      </c>
      <c r="F1040" s="132">
        <v>0</v>
      </c>
      <c r="G1040" s="192">
        <f>2525600+17850+34600+34000+2524800+370000+297800</f>
        <v>5804650</v>
      </c>
      <c r="H1040" s="299">
        <f t="shared" si="390"/>
        <v>32.248055555555553</v>
      </c>
      <c r="I1040" s="192">
        <f t="shared" si="391"/>
        <v>5804650</v>
      </c>
      <c r="J1040" s="301">
        <f t="shared" si="389"/>
        <v>32.248055555555553</v>
      </c>
      <c r="K1040" s="331">
        <f t="shared" si="386"/>
        <v>0.75</v>
      </c>
      <c r="L1040" s="311">
        <f t="shared" si="387"/>
        <v>32.248055555555553</v>
      </c>
      <c r="M1040" s="132"/>
      <c r="N1040" s="192">
        <f>2525600+17850+34600+34000+2524800+370000+297800</f>
        <v>5804650</v>
      </c>
    </row>
    <row r="1041" spans="1:18" ht="16.5">
      <c r="A1041" s="44"/>
      <c r="B1041" s="47">
        <v>12</v>
      </c>
      <c r="C1041" s="48" t="s">
        <v>38</v>
      </c>
      <c r="D1041" s="34">
        <v>5000000</v>
      </c>
      <c r="E1041" s="117">
        <v>0</v>
      </c>
      <c r="F1041" s="132">
        <v>0</v>
      </c>
      <c r="G1041" s="192">
        <v>3725000</v>
      </c>
      <c r="H1041" s="299">
        <f t="shared" si="390"/>
        <v>74.5</v>
      </c>
      <c r="I1041" s="192">
        <f t="shared" si="391"/>
        <v>3725000</v>
      </c>
      <c r="J1041" s="301">
        <f t="shared" si="389"/>
        <v>74.5</v>
      </c>
      <c r="K1041" s="331">
        <f t="shared" si="386"/>
        <v>0.75</v>
      </c>
      <c r="L1041" s="311">
        <f t="shared" si="387"/>
        <v>74.5</v>
      </c>
      <c r="M1041" s="132"/>
      <c r="N1041" s="672">
        <f>SUM(N1039:N1040)</f>
        <v>10304650</v>
      </c>
      <c r="P1041" s="673" t="s">
        <v>540</v>
      </c>
      <c r="Q1041" s="362" t="s">
        <v>541</v>
      </c>
      <c r="R1041" s="544">
        <v>2125750864</v>
      </c>
    </row>
    <row r="1042" spans="1:18" ht="16.5">
      <c r="A1042" s="44"/>
      <c r="B1042" s="47">
        <v>13</v>
      </c>
      <c r="C1042" s="48" t="s">
        <v>39</v>
      </c>
      <c r="D1042" s="34">
        <v>5000000</v>
      </c>
      <c r="E1042" s="117">
        <v>0</v>
      </c>
      <c r="F1042" s="132">
        <v>0</v>
      </c>
      <c r="G1042" s="192">
        <f>1000000+250000+500000+745000+750000+500000</f>
        <v>3745000</v>
      </c>
      <c r="H1042" s="299">
        <f t="shared" si="390"/>
        <v>74.900000000000006</v>
      </c>
      <c r="I1042" s="192">
        <f>G1042</f>
        <v>3745000</v>
      </c>
      <c r="J1042" s="301">
        <f t="shared" si="389"/>
        <v>74.900000000000006</v>
      </c>
      <c r="K1042" s="331">
        <f t="shared" si="386"/>
        <v>0.75</v>
      </c>
      <c r="L1042" s="311">
        <f t="shared" si="387"/>
        <v>74.900000000000006</v>
      </c>
      <c r="M1042" s="132"/>
      <c r="N1042" s="192">
        <f>1000000+250000+750000+650000+900000</f>
        <v>3550000</v>
      </c>
      <c r="Q1042" s="362" t="s">
        <v>542</v>
      </c>
      <c r="R1042" s="544">
        <v>17936300</v>
      </c>
    </row>
    <row r="1043" spans="1:18">
      <c r="A1043" s="44"/>
      <c r="B1043" s="47">
        <v>15</v>
      </c>
      <c r="C1043" s="48" t="s">
        <v>40</v>
      </c>
      <c r="D1043" s="34">
        <v>3000000</v>
      </c>
      <c r="E1043" s="117">
        <v>0</v>
      </c>
      <c r="F1043" s="132">
        <v>0</v>
      </c>
      <c r="G1043" s="192">
        <f>260000+140000+260000+140000+120000+120000</f>
        <v>1040000</v>
      </c>
      <c r="H1043" s="299">
        <f t="shared" si="390"/>
        <v>34.666666666666671</v>
      </c>
      <c r="I1043" s="192">
        <f t="shared" ref="I1043:I1044" si="392">G1043</f>
        <v>1040000</v>
      </c>
      <c r="J1043" s="301">
        <f t="shared" si="389"/>
        <v>34.666666666666671</v>
      </c>
      <c r="K1043" s="331">
        <f>9/12</f>
        <v>0.75</v>
      </c>
      <c r="L1043" s="311">
        <f t="shared" si="387"/>
        <v>34.666666666666671</v>
      </c>
      <c r="M1043" s="132"/>
      <c r="N1043" s="192">
        <f>1200000+400000+1800000+760000+760000</f>
        <v>4920000</v>
      </c>
      <c r="R1043" s="544">
        <f>R1041-R1042</f>
        <v>2107814564</v>
      </c>
    </row>
    <row r="1044" spans="1:18">
      <c r="A1044" s="44"/>
      <c r="B1044" s="47">
        <v>17</v>
      </c>
      <c r="C1044" s="48" t="s">
        <v>41</v>
      </c>
      <c r="D1044" s="34">
        <v>5000000</v>
      </c>
      <c r="E1044" s="117">
        <v>0</v>
      </c>
      <c r="F1044" s="132">
        <v>0</v>
      </c>
      <c r="G1044" s="192">
        <f>1000000+250000+750000+650000+900000</f>
        <v>3550000</v>
      </c>
      <c r="H1044" s="299">
        <f t="shared" si="390"/>
        <v>71</v>
      </c>
      <c r="I1044" s="192">
        <f t="shared" si="392"/>
        <v>3550000</v>
      </c>
      <c r="J1044" s="301">
        <f t="shared" si="389"/>
        <v>71</v>
      </c>
      <c r="K1044" s="331">
        <f t="shared" si="386"/>
        <v>0.75</v>
      </c>
      <c r="L1044" s="311">
        <f t="shared" si="387"/>
        <v>71</v>
      </c>
      <c r="M1044" s="132"/>
      <c r="N1044" s="161">
        <f>SUM(N1042:N1043)</f>
        <v>8470000</v>
      </c>
    </row>
    <row r="1045" spans="1:18">
      <c r="A1045" s="44"/>
      <c r="B1045" s="47">
        <v>17</v>
      </c>
      <c r="C1045" s="48" t="s">
        <v>42</v>
      </c>
      <c r="D1045" s="34">
        <v>7000000</v>
      </c>
      <c r="E1045" s="117">
        <v>0</v>
      </c>
      <c r="F1045" s="132">
        <v>0</v>
      </c>
      <c r="G1045" s="192">
        <f>1200000+400000+1800000+760000+760000</f>
        <v>4920000</v>
      </c>
      <c r="H1045" s="299">
        <f t="shared" si="390"/>
        <v>70.285714285714278</v>
      </c>
      <c r="I1045" s="192">
        <f>G1045</f>
        <v>4920000</v>
      </c>
      <c r="J1045" s="301">
        <f>I1045/D1045*100</f>
        <v>70.285714285714278</v>
      </c>
      <c r="K1045" s="331">
        <f t="shared" si="386"/>
        <v>0.75</v>
      </c>
      <c r="L1045" s="311">
        <f t="shared" si="387"/>
        <v>70.285714285714278</v>
      </c>
      <c r="M1045" s="132"/>
    </row>
    <row r="1046" spans="1:18">
      <c r="A1046" s="44"/>
      <c r="B1046" s="47">
        <v>18</v>
      </c>
      <c r="C1046" s="48" t="s">
        <v>43</v>
      </c>
      <c r="D1046" s="34">
        <v>15000000</v>
      </c>
      <c r="E1046" s="117">
        <v>0</v>
      </c>
      <c r="F1046" s="132">
        <v>0</v>
      </c>
      <c r="G1046" s="192">
        <v>10875000</v>
      </c>
      <c r="H1046" s="299">
        <f t="shared" si="390"/>
        <v>72.5</v>
      </c>
      <c r="I1046" s="192">
        <f>G1046</f>
        <v>10875000</v>
      </c>
      <c r="J1046" s="301">
        <f t="shared" ref="J1046:J1047" si="393">I1046/D1046*100</f>
        <v>72.5</v>
      </c>
      <c r="K1046" s="331">
        <f t="shared" si="386"/>
        <v>0.75</v>
      </c>
      <c r="L1046" s="311">
        <f t="shared" si="387"/>
        <v>72.5</v>
      </c>
      <c r="M1046" s="132"/>
    </row>
    <row r="1047" spans="1:18" ht="15.75" thickBot="1">
      <c r="A1047" s="44"/>
      <c r="B1047" s="49">
        <v>19</v>
      </c>
      <c r="C1047" s="50" t="s">
        <v>44</v>
      </c>
      <c r="D1047" s="51">
        <v>51212000</v>
      </c>
      <c r="E1047" s="298"/>
      <c r="F1047" s="133">
        <v>0</v>
      </c>
      <c r="G1047" s="192">
        <v>37089000</v>
      </c>
      <c r="H1047" s="300">
        <f t="shared" si="390"/>
        <v>72.42247910645942</v>
      </c>
      <c r="I1047" s="192">
        <f t="shared" ref="I1047" si="394">G1047</f>
        <v>37089000</v>
      </c>
      <c r="J1047" s="301">
        <f t="shared" si="393"/>
        <v>72.42247910645942</v>
      </c>
      <c r="K1047" s="331">
        <f>9/12</f>
        <v>0.75</v>
      </c>
      <c r="L1047" s="311">
        <f t="shared" si="387"/>
        <v>72.42247910645942</v>
      </c>
      <c r="M1047" s="133"/>
    </row>
    <row r="1048" spans="1:18" ht="15.75" thickBot="1">
      <c r="A1048" s="35"/>
      <c r="B1048" s="52"/>
      <c r="C1048" s="37" t="s">
        <v>45</v>
      </c>
      <c r="D1048" s="53">
        <f>SUM(D1033:D1047)</f>
        <v>170212000</v>
      </c>
      <c r="E1048" s="53">
        <f>SUM(E1033:E1047)</f>
        <v>0</v>
      </c>
      <c r="F1048" s="53">
        <f t="shared" ref="F1048" si="395">SUM(F1033:F1047)</f>
        <v>0</v>
      </c>
      <c r="G1048" s="53">
        <f>SUM(G1033:G1047)</f>
        <v>101634681</v>
      </c>
      <c r="H1048" s="214">
        <f>G1048/D1048*100</f>
        <v>59.710643785397032</v>
      </c>
      <c r="I1048" s="194">
        <f t="shared" ref="I1048" si="396">SUM(I1033:I1047)</f>
        <v>101634681</v>
      </c>
      <c r="J1048" s="214">
        <f>I1048/D1048*100</f>
        <v>59.710643785397032</v>
      </c>
      <c r="K1048" s="332">
        <f>9/12</f>
        <v>0.75</v>
      </c>
      <c r="L1048" s="214">
        <f>J1048</f>
        <v>59.710643785397032</v>
      </c>
      <c r="M1048" s="53"/>
      <c r="N1048" s="161">
        <f>D1048-G1048</f>
        <v>68577319</v>
      </c>
    </row>
    <row r="1049" spans="1:18">
      <c r="A1049" s="54" t="s">
        <v>29</v>
      </c>
      <c r="B1049" s="55" t="s">
        <v>90</v>
      </c>
      <c r="C1049" s="56"/>
      <c r="D1049" s="57"/>
      <c r="E1049" s="119"/>
      <c r="F1049" s="131"/>
      <c r="G1049" s="152"/>
      <c r="H1049" s="152"/>
      <c r="I1049" s="119"/>
      <c r="J1049" s="152"/>
      <c r="K1049" s="152"/>
      <c r="L1049" s="152"/>
      <c r="M1049" s="131"/>
    </row>
    <row r="1050" spans="1:18">
      <c r="A1050" s="279"/>
      <c r="B1050" s="47" t="s">
        <v>53</v>
      </c>
      <c r="C1050" s="46" t="s">
        <v>216</v>
      </c>
      <c r="D1050" s="80">
        <v>40000000</v>
      </c>
      <c r="E1050" s="119"/>
      <c r="F1050" s="131"/>
      <c r="G1050" s="152">
        <v>40000000</v>
      </c>
      <c r="H1050" s="299">
        <f t="shared" ref="H1050:H1054" si="397">G1050/D1050*100</f>
        <v>100</v>
      </c>
      <c r="I1050" s="119">
        <f>G1050</f>
        <v>40000000</v>
      </c>
      <c r="J1050" s="301">
        <f t="shared" ref="J1050:J1054" si="398">I1050/D1050*100</f>
        <v>100</v>
      </c>
      <c r="K1050" s="331">
        <f>9/12</f>
        <v>0.75</v>
      </c>
      <c r="L1050" s="311">
        <f t="shared" ref="L1050" si="399">J1050</f>
        <v>100</v>
      </c>
      <c r="M1050" s="131"/>
    </row>
    <row r="1051" spans="1:18">
      <c r="A1051" s="44"/>
      <c r="B1051" s="47" t="s">
        <v>46</v>
      </c>
      <c r="C1051" s="58" t="s">
        <v>110</v>
      </c>
      <c r="D1051" s="59">
        <v>20000000</v>
      </c>
      <c r="E1051" s="120">
        <v>0</v>
      </c>
      <c r="F1051" s="132">
        <v>0</v>
      </c>
      <c r="G1051" s="119">
        <v>14475000</v>
      </c>
      <c r="H1051" s="299">
        <f t="shared" si="397"/>
        <v>72.375</v>
      </c>
      <c r="I1051" s="119">
        <f>G1051</f>
        <v>14475000</v>
      </c>
      <c r="J1051" s="301">
        <f t="shared" si="398"/>
        <v>72.375</v>
      </c>
      <c r="K1051" s="331">
        <f t="shared" ref="K1051:K1056" si="400">9/12</f>
        <v>0.75</v>
      </c>
      <c r="L1051" s="311">
        <f>J1051</f>
        <v>72.375</v>
      </c>
      <c r="M1051" s="132"/>
    </row>
    <row r="1052" spans="1:18">
      <c r="A1052" s="44"/>
      <c r="B1052" s="47">
        <v>21</v>
      </c>
      <c r="C1052" s="48" t="s">
        <v>47</v>
      </c>
      <c r="D1052" s="59">
        <v>30000000</v>
      </c>
      <c r="E1052" s="120">
        <v>0</v>
      </c>
      <c r="F1052" s="132">
        <v>0</v>
      </c>
      <c r="G1052" s="206">
        <v>30000000</v>
      </c>
      <c r="H1052" s="299">
        <f t="shared" si="397"/>
        <v>100</v>
      </c>
      <c r="I1052" s="119">
        <f t="shared" ref="I1052:I1053" si="401">G1052</f>
        <v>30000000</v>
      </c>
      <c r="J1052" s="301">
        <f t="shared" si="398"/>
        <v>100</v>
      </c>
      <c r="K1052" s="331">
        <f t="shared" si="400"/>
        <v>0.75</v>
      </c>
      <c r="L1052" s="311">
        <f>J1052</f>
        <v>100</v>
      </c>
      <c r="M1052" s="132"/>
    </row>
    <row r="1053" spans="1:18">
      <c r="A1053" s="44"/>
      <c r="B1053" s="47">
        <v>22</v>
      </c>
      <c r="C1053" s="48" t="s">
        <v>48</v>
      </c>
      <c r="D1053" s="60">
        <v>30000000</v>
      </c>
      <c r="E1053" s="120">
        <v>0</v>
      </c>
      <c r="F1053" s="132">
        <v>0</v>
      </c>
      <c r="G1053" s="206">
        <v>30000000</v>
      </c>
      <c r="H1053" s="299">
        <f t="shared" si="397"/>
        <v>100</v>
      </c>
      <c r="I1053" s="119">
        <f t="shared" si="401"/>
        <v>30000000</v>
      </c>
      <c r="J1053" s="301">
        <f t="shared" si="398"/>
        <v>100</v>
      </c>
      <c r="K1053" s="331">
        <f t="shared" si="400"/>
        <v>0.75</v>
      </c>
      <c r="L1053" s="311">
        <f t="shared" ref="L1053" si="402">J1053</f>
        <v>100</v>
      </c>
      <c r="M1053" s="154"/>
    </row>
    <row r="1054" spans="1:18">
      <c r="A1054" s="44"/>
      <c r="B1054" s="47">
        <v>24</v>
      </c>
      <c r="C1054" s="48" t="s">
        <v>49</v>
      </c>
      <c r="D1054" s="60">
        <v>35000000</v>
      </c>
      <c r="E1054" s="120">
        <v>0</v>
      </c>
      <c r="F1054" s="132">
        <v>0</v>
      </c>
      <c r="G1054" s="206">
        <f>6051250+1700000+2418000+4557000+2750000+2922500</f>
        <v>20398750</v>
      </c>
      <c r="H1054" s="299">
        <f t="shared" si="397"/>
        <v>58.282142857142858</v>
      </c>
      <c r="I1054" s="192">
        <f>G1054</f>
        <v>20398750</v>
      </c>
      <c r="J1054" s="301">
        <f t="shared" si="398"/>
        <v>58.282142857142858</v>
      </c>
      <c r="K1054" s="331">
        <f t="shared" si="400"/>
        <v>0.75</v>
      </c>
      <c r="L1054" s="311">
        <f>J1054</f>
        <v>58.282142857142858</v>
      </c>
      <c r="M1054" s="132"/>
    </row>
    <row r="1055" spans="1:18">
      <c r="A1055" s="44"/>
      <c r="B1055" s="47">
        <v>26</v>
      </c>
      <c r="C1055" s="48" t="s">
        <v>50</v>
      </c>
      <c r="D1055" s="60">
        <v>4000000</v>
      </c>
      <c r="E1055" s="120">
        <v>0</v>
      </c>
      <c r="F1055" s="132">
        <v>0</v>
      </c>
      <c r="G1055" s="206">
        <v>3000000</v>
      </c>
      <c r="H1055" s="299">
        <f>G1055/D1055*100</f>
        <v>75</v>
      </c>
      <c r="I1055" s="192">
        <f>G1055</f>
        <v>3000000</v>
      </c>
      <c r="J1055" s="301">
        <f>I1055/D1055*100</f>
        <v>75</v>
      </c>
      <c r="K1055" s="331">
        <f t="shared" si="400"/>
        <v>0.75</v>
      </c>
      <c r="L1055" s="311">
        <f t="shared" ref="L1055:L1057" si="403">J1055</f>
        <v>75</v>
      </c>
      <c r="M1055" s="132"/>
    </row>
    <row r="1056" spans="1:18">
      <c r="A1056" s="44"/>
      <c r="B1056" s="47">
        <v>28</v>
      </c>
      <c r="C1056" s="48" t="s">
        <v>51</v>
      </c>
      <c r="D1056" s="60">
        <v>12000000</v>
      </c>
      <c r="E1056" s="120">
        <v>0</v>
      </c>
      <c r="F1056" s="132">
        <v>0</v>
      </c>
      <c r="G1056" s="206">
        <f>300000+300000+2250000+1000000+400000+1250000+500000+750000+200000+950000</f>
        <v>7900000</v>
      </c>
      <c r="H1056" s="299">
        <f t="shared" ref="H1056" si="404">G1056/D1056*100</f>
        <v>65.833333333333329</v>
      </c>
      <c r="I1056" s="192">
        <f>G1056</f>
        <v>7900000</v>
      </c>
      <c r="J1056" s="301">
        <f>I1056/D1056*100</f>
        <v>65.833333333333329</v>
      </c>
      <c r="K1056" s="331">
        <f t="shared" si="400"/>
        <v>0.75</v>
      </c>
      <c r="L1056" s="311">
        <f t="shared" si="403"/>
        <v>65.833333333333329</v>
      </c>
      <c r="M1056" s="132"/>
    </row>
    <row r="1057" spans="1:14">
      <c r="A1057" s="44"/>
      <c r="B1057" s="61">
        <v>29</v>
      </c>
      <c r="C1057" s="50" t="s">
        <v>52</v>
      </c>
      <c r="D1057" s="62">
        <v>2000000</v>
      </c>
      <c r="E1057" s="121">
        <v>0</v>
      </c>
      <c r="F1057" s="133">
        <v>0</v>
      </c>
      <c r="G1057" s="197">
        <f>200000+100000+390000+350000</f>
        <v>1040000</v>
      </c>
      <c r="H1057" s="312">
        <f>G1057/D1057*100</f>
        <v>52</v>
      </c>
      <c r="I1057" s="313">
        <f t="shared" ref="I1057" si="405">G1057</f>
        <v>1040000</v>
      </c>
      <c r="J1057" s="314">
        <f t="shared" ref="J1057" si="406">I1057/D1057*100</f>
        <v>52</v>
      </c>
      <c r="K1057" s="331">
        <f>9/12</f>
        <v>0.75</v>
      </c>
      <c r="L1057" s="311">
        <f t="shared" si="403"/>
        <v>52</v>
      </c>
      <c r="M1057" s="133"/>
    </row>
    <row r="1058" spans="1:14">
      <c r="A1058" s="63"/>
      <c r="B1058" s="64"/>
      <c r="C1058" s="65" t="s">
        <v>45</v>
      </c>
      <c r="D1058" s="66">
        <f>SUM(D1050:D1057)</f>
        <v>173000000</v>
      </c>
      <c r="E1058" s="122"/>
      <c r="F1058" s="66"/>
      <c r="G1058" s="285">
        <f>SUM(G1050:G1057)</f>
        <v>146813750</v>
      </c>
      <c r="H1058" s="323">
        <f>G1058/D1058*100</f>
        <v>84.863439306358373</v>
      </c>
      <c r="I1058" s="286">
        <f>SUM(I1050:I1057)</f>
        <v>146813750</v>
      </c>
      <c r="J1058" s="323">
        <f>I1058/D1058*100</f>
        <v>84.863439306358373</v>
      </c>
      <c r="K1058" s="333">
        <f>9/12</f>
        <v>0.75</v>
      </c>
      <c r="L1058" s="302">
        <f>J1058</f>
        <v>84.863439306358373</v>
      </c>
      <c r="M1058" s="66"/>
      <c r="N1058" s="161">
        <f>D1058-G1058</f>
        <v>26186250</v>
      </c>
    </row>
    <row r="1059" spans="1:14">
      <c r="A1059" s="67" t="s">
        <v>53</v>
      </c>
      <c r="B1059" s="68" t="s">
        <v>54</v>
      </c>
      <c r="C1059" s="69"/>
      <c r="D1059" s="70"/>
      <c r="E1059" s="123"/>
      <c r="F1059" s="134"/>
      <c r="G1059" s="164"/>
      <c r="H1059" s="148"/>
      <c r="I1059" s="164"/>
      <c r="J1059" s="152"/>
      <c r="K1059" s="152"/>
      <c r="L1059" s="156"/>
      <c r="M1059" s="134"/>
    </row>
    <row r="1060" spans="1:14">
      <c r="A1060" s="44"/>
      <c r="B1060" s="47" t="s">
        <v>26</v>
      </c>
      <c r="C1060" s="48" t="s">
        <v>55</v>
      </c>
      <c r="D1060" s="60">
        <v>25000000</v>
      </c>
      <c r="E1060" s="120">
        <v>0</v>
      </c>
      <c r="F1060" s="208">
        <v>0</v>
      </c>
      <c r="G1060" s="197" t="s">
        <v>132</v>
      </c>
      <c r="H1060" s="59" t="s">
        <v>132</v>
      </c>
      <c r="I1060" s="197" t="s">
        <v>132</v>
      </c>
      <c r="J1060" s="59" t="s">
        <v>132</v>
      </c>
      <c r="K1060" s="59">
        <v>0</v>
      </c>
      <c r="L1060" s="59">
        <v>0</v>
      </c>
      <c r="M1060" s="132"/>
    </row>
    <row r="1061" spans="1:14">
      <c r="A1061" s="63"/>
      <c r="B1061" s="71"/>
      <c r="C1061" s="65" t="s">
        <v>45</v>
      </c>
      <c r="D1061" s="66">
        <f>SUM(D1060:D1060)</f>
        <v>25000000</v>
      </c>
      <c r="E1061" s="122">
        <f>SUM(E1060:E1060)</f>
        <v>0</v>
      </c>
      <c r="F1061" s="202">
        <f>SUM(F1060:F1060)</f>
        <v>0</v>
      </c>
      <c r="G1061" s="122" t="s">
        <v>132</v>
      </c>
      <c r="H1061" s="66" t="s">
        <v>132</v>
      </c>
      <c r="I1061" s="122" t="s">
        <v>132</v>
      </c>
      <c r="J1061" s="155" t="s">
        <v>132</v>
      </c>
      <c r="K1061" s="66">
        <f>SUM(K1060:K1060)</f>
        <v>0</v>
      </c>
      <c r="L1061" s="66">
        <f>SUM(L1060:L1060)</f>
        <v>0</v>
      </c>
      <c r="M1061" s="66"/>
      <c r="N1061" s="161">
        <v>15000000</v>
      </c>
    </row>
    <row r="1062" spans="1:14">
      <c r="A1062" s="44">
        <v>15</v>
      </c>
      <c r="B1062" s="72" t="s">
        <v>61</v>
      </c>
      <c r="C1062" s="73"/>
      <c r="D1062" s="57"/>
      <c r="E1062" s="119"/>
      <c r="F1062" s="209"/>
      <c r="G1062" s="119" t="s">
        <v>132</v>
      </c>
      <c r="H1062" s="152" t="s">
        <v>132</v>
      </c>
      <c r="I1062" s="119" t="s">
        <v>132</v>
      </c>
      <c r="J1062" s="152" t="s">
        <v>132</v>
      </c>
      <c r="K1062" s="152"/>
      <c r="L1062" s="152"/>
      <c r="M1062" s="131"/>
    </row>
    <row r="1063" spans="1:14">
      <c r="A1063" s="44"/>
      <c r="B1063" s="47">
        <v>18</v>
      </c>
      <c r="C1063" s="48" t="s">
        <v>62</v>
      </c>
      <c r="D1063" s="60">
        <v>5000000</v>
      </c>
      <c r="E1063" s="120">
        <v>0</v>
      </c>
      <c r="F1063" s="208">
        <v>0</v>
      </c>
      <c r="G1063" s="120">
        <v>5000000</v>
      </c>
      <c r="H1063" s="299">
        <f t="shared" ref="H1063:H1064" si="407">G1063/D1063*100</f>
        <v>100</v>
      </c>
      <c r="I1063" s="120">
        <f>G1063</f>
        <v>5000000</v>
      </c>
      <c r="J1063" s="301">
        <f>I1063/D1063*100</f>
        <v>100</v>
      </c>
      <c r="K1063" s="331">
        <f>9/12</f>
        <v>0.75</v>
      </c>
      <c r="L1063" s="301">
        <f>J1063</f>
        <v>100</v>
      </c>
      <c r="M1063" s="132"/>
    </row>
    <row r="1064" spans="1:14" ht="25.5">
      <c r="A1064" s="44"/>
      <c r="B1064" s="49">
        <v>63</v>
      </c>
      <c r="C1064" s="244" t="s">
        <v>63</v>
      </c>
      <c r="D1064" s="62">
        <v>5000000</v>
      </c>
      <c r="E1064" s="121">
        <v>0</v>
      </c>
      <c r="F1064" s="210">
        <v>0</v>
      </c>
      <c r="G1064" s="121">
        <v>5000000</v>
      </c>
      <c r="H1064" s="300">
        <f t="shared" si="407"/>
        <v>100</v>
      </c>
      <c r="I1064" s="120">
        <f>G1064</f>
        <v>5000000</v>
      </c>
      <c r="J1064" s="314">
        <f>I1064/D1064*100</f>
        <v>100</v>
      </c>
      <c r="K1064" s="331">
        <f>9/12</f>
        <v>0.75</v>
      </c>
      <c r="L1064" s="528">
        <f>J1064</f>
        <v>100</v>
      </c>
      <c r="M1064" s="133"/>
    </row>
    <row r="1065" spans="1:14">
      <c r="A1065" s="63"/>
      <c r="B1065" s="64"/>
      <c r="C1065" s="65" t="s">
        <v>45</v>
      </c>
      <c r="D1065" s="66">
        <f>SUM(D1063:D1064)</f>
        <v>10000000</v>
      </c>
      <c r="E1065" s="122">
        <f t="shared" ref="E1065" si="408">SUM(E1063:E1064)</f>
        <v>0</v>
      </c>
      <c r="F1065" s="202">
        <f>SUM(F1063:F1064)</f>
        <v>0</v>
      </c>
      <c r="G1065" s="195">
        <f>SUM(G1063:G1064)</f>
        <v>10000000</v>
      </c>
      <c r="H1065" s="302">
        <f>G1065/D1065*100</f>
        <v>100</v>
      </c>
      <c r="I1065" s="195">
        <f>SUM(I1063:I1064)</f>
        <v>10000000</v>
      </c>
      <c r="J1065" s="323">
        <f>I1065/D1065*100</f>
        <v>100</v>
      </c>
      <c r="K1065" s="356">
        <f>K1064</f>
        <v>0.75</v>
      </c>
      <c r="L1065" s="302">
        <f>J1065</f>
        <v>100</v>
      </c>
      <c r="M1065" s="66"/>
    </row>
    <row r="1066" spans="1:14">
      <c r="A1066" s="44">
        <v>30</v>
      </c>
      <c r="B1066" s="77" t="s">
        <v>64</v>
      </c>
      <c r="C1066" s="78"/>
      <c r="D1066" s="57"/>
      <c r="E1066" s="119"/>
      <c r="F1066" s="209"/>
      <c r="G1066" s="119"/>
      <c r="H1066" s="152"/>
      <c r="I1066" s="119"/>
      <c r="J1066" s="152"/>
      <c r="K1066" s="152"/>
      <c r="L1066" s="311"/>
      <c r="M1066" s="131"/>
    </row>
    <row r="1067" spans="1:14">
      <c r="A1067" s="44"/>
      <c r="B1067" s="45">
        <v>2</v>
      </c>
      <c r="C1067" s="79" t="s">
        <v>102</v>
      </c>
      <c r="D1067" s="80">
        <v>200000000</v>
      </c>
      <c r="E1067" s="124">
        <v>0</v>
      </c>
      <c r="F1067" s="209">
        <v>0</v>
      </c>
      <c r="G1067" s="124">
        <v>199258000</v>
      </c>
      <c r="H1067" s="312">
        <f t="shared" ref="H1067" si="409">G1067/D1067*100</f>
        <v>99.629000000000005</v>
      </c>
      <c r="I1067" s="120">
        <f>G1067</f>
        <v>199258000</v>
      </c>
      <c r="J1067" s="314">
        <f>I1067/D1067*100</f>
        <v>99.629000000000005</v>
      </c>
      <c r="K1067" s="355">
        <f>9/12</f>
        <v>0.75</v>
      </c>
      <c r="L1067" s="311">
        <f>J1067</f>
        <v>99.629000000000005</v>
      </c>
      <c r="M1067" s="131"/>
    </row>
    <row r="1068" spans="1:14">
      <c r="A1068" s="63"/>
      <c r="B1068" s="64"/>
      <c r="C1068" s="65" t="s">
        <v>45</v>
      </c>
      <c r="D1068" s="66">
        <f>SUM(D1066:D1067)</f>
        <v>200000000</v>
      </c>
      <c r="E1068" s="66">
        <f>SUM(E1066:E1067)</f>
        <v>0</v>
      </c>
      <c r="F1068" s="202">
        <f>SUM(F1066:F1067)</f>
        <v>0</v>
      </c>
      <c r="G1068" s="122">
        <f>SUM(G1067)</f>
        <v>199258000</v>
      </c>
      <c r="H1068" s="323">
        <f>G1068/D1068*100</f>
        <v>99.629000000000005</v>
      </c>
      <c r="I1068" s="122">
        <f>SUM(I1067)</f>
        <v>199258000</v>
      </c>
      <c r="J1068" s="323">
        <f>I1068/D1068*100</f>
        <v>99.629000000000005</v>
      </c>
      <c r="K1068" s="356">
        <f>K1067</f>
        <v>0.75</v>
      </c>
      <c r="L1068" s="302">
        <f>J1068</f>
        <v>99.629000000000005</v>
      </c>
      <c r="M1068" s="66"/>
    </row>
    <row r="1069" spans="1:14">
      <c r="A1069" s="44">
        <v>21</v>
      </c>
      <c r="B1069" s="81" t="s">
        <v>65</v>
      </c>
      <c r="C1069" s="82"/>
      <c r="D1069" s="57"/>
      <c r="E1069" s="119"/>
      <c r="F1069" s="209"/>
      <c r="G1069" s="119"/>
      <c r="H1069" s="152"/>
      <c r="I1069" s="119"/>
      <c r="J1069" s="152"/>
      <c r="K1069" s="152"/>
      <c r="L1069" s="311"/>
      <c r="M1069" s="131"/>
    </row>
    <row r="1070" spans="1:14">
      <c r="A1070" s="44"/>
      <c r="B1070" s="47" t="s">
        <v>46</v>
      </c>
      <c r="C1070" s="48" t="s">
        <v>66</v>
      </c>
      <c r="D1070" s="60">
        <v>20000000</v>
      </c>
      <c r="E1070" s="125">
        <v>0</v>
      </c>
      <c r="F1070" s="211">
        <v>0</v>
      </c>
      <c r="G1070" s="199">
        <v>20000000</v>
      </c>
      <c r="H1070" s="312">
        <f>G1070/D1070*100</f>
        <v>100</v>
      </c>
      <c r="I1070" s="197">
        <f>G1070</f>
        <v>20000000</v>
      </c>
      <c r="J1070" s="301">
        <f>H1070</f>
        <v>100</v>
      </c>
      <c r="K1070" s="355">
        <f>9/12</f>
        <v>0.75</v>
      </c>
      <c r="L1070" s="301">
        <f>J1070</f>
        <v>100</v>
      </c>
      <c r="M1070" s="132"/>
    </row>
    <row r="1071" spans="1:14">
      <c r="A1071" s="63"/>
      <c r="B1071" s="83"/>
      <c r="C1071" s="65" t="s">
        <v>45</v>
      </c>
      <c r="D1071" s="66">
        <f>SUM(D1070:D1070)</f>
        <v>20000000</v>
      </c>
      <c r="E1071" s="66">
        <f t="shared" ref="E1071:F1071" si="410">SUM(E1068:E1070)</f>
        <v>0</v>
      </c>
      <c r="F1071" s="202">
        <f t="shared" si="410"/>
        <v>0</v>
      </c>
      <c r="G1071" s="122">
        <f>SUM(G1070)</f>
        <v>20000000</v>
      </c>
      <c r="H1071" s="323">
        <f>G1071/D1071*100</f>
        <v>100</v>
      </c>
      <c r="I1071" s="122">
        <f>SUM(I1070)</f>
        <v>20000000</v>
      </c>
      <c r="J1071" s="302">
        <f>H1071</f>
        <v>100</v>
      </c>
      <c r="K1071" s="356">
        <f>K1070</f>
        <v>0.75</v>
      </c>
      <c r="L1071" s="302">
        <f>SUM(L1070)</f>
        <v>100</v>
      </c>
      <c r="M1071" s="66"/>
    </row>
    <row r="1072" spans="1:14">
      <c r="A1072" s="84">
        <v>18</v>
      </c>
      <c r="B1072" s="826" t="s">
        <v>96</v>
      </c>
      <c r="C1072" s="827"/>
      <c r="D1072" s="57"/>
      <c r="E1072" s="119"/>
      <c r="F1072" s="209"/>
      <c r="G1072" s="119"/>
      <c r="H1072" s="152"/>
      <c r="I1072" s="119"/>
      <c r="J1072" s="152"/>
      <c r="K1072" s="152"/>
      <c r="L1072" s="152"/>
      <c r="M1072" s="131"/>
    </row>
    <row r="1073" spans="1:14">
      <c r="A1073" s="84"/>
      <c r="B1073" s="830" t="s">
        <v>95</v>
      </c>
      <c r="C1073" s="831"/>
      <c r="D1073" s="57"/>
      <c r="E1073" s="124"/>
      <c r="F1073" s="209"/>
      <c r="G1073" s="119"/>
      <c r="H1073" s="152"/>
      <c r="I1073" s="119"/>
      <c r="J1073" s="152"/>
      <c r="K1073" s="152"/>
      <c r="L1073" s="152"/>
      <c r="M1073" s="131"/>
    </row>
    <row r="1074" spans="1:14">
      <c r="A1074" s="44"/>
      <c r="B1074" s="47" t="s">
        <v>26</v>
      </c>
      <c r="C1074" s="48" t="s">
        <v>67</v>
      </c>
      <c r="D1074" s="60">
        <v>20000000</v>
      </c>
      <c r="E1074" s="125">
        <v>0</v>
      </c>
      <c r="F1074" s="211">
        <v>0</v>
      </c>
      <c r="G1074" s="199">
        <v>20000000</v>
      </c>
      <c r="H1074" s="299">
        <f>G1074/D1074*100</f>
        <v>100</v>
      </c>
      <c r="I1074" s="119">
        <f t="shared" ref="I1074" si="411">G1074</f>
        <v>20000000</v>
      </c>
      <c r="J1074" s="301">
        <f>H1074</f>
        <v>100</v>
      </c>
      <c r="K1074" s="59">
        <v>0</v>
      </c>
      <c r="L1074" s="59">
        <v>0</v>
      </c>
      <c r="M1074" s="132"/>
    </row>
    <row r="1075" spans="1:14">
      <c r="A1075" s="44"/>
      <c r="B1075" s="47" t="s">
        <v>29</v>
      </c>
      <c r="C1075" s="204" t="s">
        <v>220</v>
      </c>
      <c r="D1075" s="179">
        <v>7000000</v>
      </c>
      <c r="E1075" s="180">
        <v>0</v>
      </c>
      <c r="F1075" s="181">
        <v>0</v>
      </c>
      <c r="G1075" s="207">
        <v>0</v>
      </c>
      <c r="H1075" s="148" t="s">
        <v>132</v>
      </c>
      <c r="I1075" s="119">
        <v>0</v>
      </c>
      <c r="J1075" s="148" t="s">
        <v>132</v>
      </c>
      <c r="K1075" s="59">
        <v>0</v>
      </c>
      <c r="L1075" s="148">
        <v>0</v>
      </c>
      <c r="M1075" s="165"/>
    </row>
    <row r="1076" spans="1:14">
      <c r="A1076" s="44"/>
      <c r="B1076" s="47"/>
      <c r="C1076" s="48" t="s">
        <v>117</v>
      </c>
      <c r="D1076" s="60"/>
      <c r="E1076" s="125"/>
      <c r="F1076" s="135"/>
      <c r="G1076" s="199"/>
      <c r="H1076" s="157"/>
      <c r="I1076" s="197"/>
      <c r="J1076" s="59"/>
      <c r="K1076" s="59"/>
      <c r="L1076" s="59"/>
      <c r="M1076" s="132"/>
    </row>
    <row r="1077" spans="1:14">
      <c r="A1077" s="63"/>
      <c r="B1077" s="71"/>
      <c r="C1077" s="65" t="s">
        <v>45</v>
      </c>
      <c r="D1077" s="66">
        <f>SUM(D1074:D1076)</f>
        <v>27000000</v>
      </c>
      <c r="E1077" s="66">
        <f t="shared" ref="E1077" si="412">SUM(E1074:E1074)</f>
        <v>0</v>
      </c>
      <c r="F1077" s="66">
        <f>SUM(F1074:F1074)</f>
        <v>0</v>
      </c>
      <c r="G1077" s="122">
        <f>SUM(G1074:G1076)</f>
        <v>20000000</v>
      </c>
      <c r="H1077" s="323">
        <f>G1077/D1077*100</f>
        <v>74.074074074074076</v>
      </c>
      <c r="I1077" s="122">
        <f>SUM(I1074:I1076)</f>
        <v>20000000</v>
      </c>
      <c r="J1077" s="302">
        <f>H1077</f>
        <v>74.074074074074076</v>
      </c>
      <c r="K1077" s="66">
        <f>SUM(K1074:K1076)</f>
        <v>0</v>
      </c>
      <c r="L1077" s="66">
        <f t="shared" ref="L1077" si="413">SUM(L1074:L1074)</f>
        <v>0</v>
      </c>
      <c r="M1077" s="66"/>
    </row>
    <row r="1078" spans="1:14">
      <c r="A1078" s="84">
        <v>17</v>
      </c>
      <c r="B1078" s="826" t="s">
        <v>130</v>
      </c>
      <c r="C1078" s="827"/>
      <c r="D1078" s="57"/>
      <c r="E1078" s="119"/>
      <c r="F1078" s="131"/>
      <c r="G1078" s="119"/>
      <c r="H1078" s="152"/>
      <c r="I1078" s="119"/>
      <c r="J1078" s="152"/>
      <c r="K1078" s="152"/>
      <c r="L1078" s="152"/>
      <c r="M1078" s="131"/>
    </row>
    <row r="1079" spans="1:14">
      <c r="A1079" s="44"/>
      <c r="B1079" s="47" t="s">
        <v>53</v>
      </c>
      <c r="C1079" s="48" t="s">
        <v>131</v>
      </c>
      <c r="D1079" s="60">
        <v>24000000</v>
      </c>
      <c r="E1079" s="125">
        <v>0</v>
      </c>
      <c r="F1079" s="135">
        <v>0</v>
      </c>
      <c r="G1079" s="197">
        <v>19000000</v>
      </c>
      <c r="H1079" s="312">
        <f>G1079/D1079*100</f>
        <v>79.166666666666657</v>
      </c>
      <c r="I1079" s="197">
        <f>G1079</f>
        <v>19000000</v>
      </c>
      <c r="J1079" s="301">
        <f>H1079</f>
        <v>79.166666666666657</v>
      </c>
      <c r="K1079" s="355">
        <f>9/12</f>
        <v>0.75</v>
      </c>
      <c r="L1079" s="59">
        <v>0</v>
      </c>
      <c r="M1079" s="132"/>
    </row>
    <row r="1080" spans="1:14">
      <c r="A1080" s="63"/>
      <c r="B1080" s="64"/>
      <c r="C1080" s="65" t="s">
        <v>45</v>
      </c>
      <c r="D1080" s="66">
        <f>SUM(D1079:D1079)</f>
        <v>24000000</v>
      </c>
      <c r="E1080" s="66">
        <f t="shared" ref="E1080:F1080" si="414">SUM(E1078:E1079)</f>
        <v>0</v>
      </c>
      <c r="F1080" s="66">
        <f t="shared" si="414"/>
        <v>0</v>
      </c>
      <c r="G1080" s="122">
        <f>SUM(G1079)</f>
        <v>19000000</v>
      </c>
      <c r="H1080" s="323">
        <f>G1080/D1080*100</f>
        <v>79.166666666666657</v>
      </c>
      <c r="I1080" s="122">
        <f>SUM(I1079)</f>
        <v>19000000</v>
      </c>
      <c r="J1080" s="302">
        <f>H1080</f>
        <v>79.166666666666657</v>
      </c>
      <c r="K1080" s="356">
        <f>K1079</f>
        <v>0.75</v>
      </c>
      <c r="L1080" s="66">
        <f t="shared" ref="L1080" si="415">SUM(L1078:L1079)</f>
        <v>0</v>
      </c>
      <c r="M1080" s="66"/>
    </row>
    <row r="1081" spans="1:14">
      <c r="A1081" s="44">
        <v>15</v>
      </c>
      <c r="B1081" s="666" t="s">
        <v>68</v>
      </c>
      <c r="C1081" s="86"/>
      <c r="D1081" s="57"/>
      <c r="E1081" s="119"/>
      <c r="F1081" s="131"/>
      <c r="G1081" s="119"/>
      <c r="H1081" s="152"/>
      <c r="I1081" s="119"/>
      <c r="J1081" s="152"/>
      <c r="K1081" s="152"/>
      <c r="L1081" s="152"/>
      <c r="M1081" s="131"/>
    </row>
    <row r="1082" spans="1:14" ht="26.25">
      <c r="A1082" s="44"/>
      <c r="B1082" s="49" t="s">
        <v>80</v>
      </c>
      <c r="C1082" s="50" t="s">
        <v>118</v>
      </c>
      <c r="D1082" s="62">
        <v>10000000</v>
      </c>
      <c r="E1082" s="125">
        <v>0</v>
      </c>
      <c r="F1082" s="135">
        <v>0</v>
      </c>
      <c r="G1082" s="119" t="s">
        <v>132</v>
      </c>
      <c r="H1082" s="59" t="s">
        <v>132</v>
      </c>
      <c r="I1082" s="119" t="s">
        <v>132</v>
      </c>
      <c r="J1082" s="59" t="s">
        <v>132</v>
      </c>
      <c r="K1082" s="339"/>
      <c r="L1082" s="59">
        <v>0</v>
      </c>
      <c r="M1082" s="132"/>
    </row>
    <row r="1083" spans="1:14">
      <c r="A1083" s="44"/>
      <c r="B1083" s="49" t="s">
        <v>69</v>
      </c>
      <c r="C1083" s="50" t="s">
        <v>70</v>
      </c>
      <c r="D1083" s="62">
        <v>60000000</v>
      </c>
      <c r="E1083" s="125">
        <v>0</v>
      </c>
      <c r="F1083" s="135">
        <v>0</v>
      </c>
      <c r="G1083" s="197">
        <v>60000000</v>
      </c>
      <c r="H1083" s="312">
        <f>G1083/D1083*100</f>
        <v>100</v>
      </c>
      <c r="I1083" s="197">
        <f>G1083</f>
        <v>60000000</v>
      </c>
      <c r="J1083" s="301">
        <f>H1083</f>
        <v>100</v>
      </c>
      <c r="K1083" s="355">
        <f>9/12</f>
        <v>0.75</v>
      </c>
      <c r="L1083" s="301">
        <f>J1083</f>
        <v>100</v>
      </c>
      <c r="M1083" s="132"/>
    </row>
    <row r="1084" spans="1:14">
      <c r="A1084" s="63"/>
      <c r="B1084" s="64"/>
      <c r="C1084" s="65" t="s">
        <v>45</v>
      </c>
      <c r="D1084" s="66">
        <f>SUM(D1082:D1083)</f>
        <v>70000000</v>
      </c>
      <c r="E1084" s="66">
        <f>SUM(E1080:E1083)</f>
        <v>0</v>
      </c>
      <c r="F1084" s="66">
        <f>SUM(F1080:F1083)</f>
        <v>0</v>
      </c>
      <c r="G1084" s="122">
        <f>SUM(G1083)</f>
        <v>60000000</v>
      </c>
      <c r="H1084" s="323">
        <f>G1084/D1084*100</f>
        <v>85.714285714285708</v>
      </c>
      <c r="I1084" s="122">
        <f>SUM(I1083)</f>
        <v>60000000</v>
      </c>
      <c r="J1084" s="302">
        <f>H1084</f>
        <v>85.714285714285708</v>
      </c>
      <c r="K1084" s="356">
        <f>K1083</f>
        <v>0.75</v>
      </c>
      <c r="L1084" s="302">
        <f>SUM(L1080:L1083)</f>
        <v>100</v>
      </c>
      <c r="M1084" s="66"/>
      <c r="N1084" s="161">
        <v>7500000</v>
      </c>
    </row>
    <row r="1085" spans="1:14">
      <c r="A1085" s="44">
        <v>16</v>
      </c>
      <c r="B1085" s="81" t="s">
        <v>71</v>
      </c>
      <c r="C1085" s="82"/>
      <c r="D1085" s="57"/>
      <c r="E1085" s="119"/>
      <c r="F1085" s="131"/>
      <c r="G1085" s="119"/>
      <c r="H1085" s="152"/>
      <c r="I1085" s="119"/>
      <c r="J1085" s="152"/>
      <c r="K1085" s="152"/>
      <c r="L1085" s="152"/>
      <c r="M1085" s="131"/>
    </row>
    <row r="1086" spans="1:14">
      <c r="A1086" s="44"/>
      <c r="B1086" s="47" t="s">
        <v>72</v>
      </c>
      <c r="C1086" s="48" t="s">
        <v>73</v>
      </c>
      <c r="D1086" s="60">
        <v>5000000</v>
      </c>
      <c r="E1086" s="120">
        <v>0</v>
      </c>
      <c r="F1086" s="132">
        <v>0</v>
      </c>
      <c r="G1086" s="120">
        <v>5000000</v>
      </c>
      <c r="H1086" s="312">
        <f>G1086/D1086*100</f>
        <v>100</v>
      </c>
      <c r="I1086" s="313">
        <f t="shared" ref="I1086:I1087" si="416">G1086</f>
        <v>5000000</v>
      </c>
      <c r="J1086" s="314">
        <f t="shared" ref="J1086:J1087" si="417">I1086/D1086*100</f>
        <v>100</v>
      </c>
      <c r="K1086" s="355">
        <f>9/12</f>
        <v>0.75</v>
      </c>
      <c r="L1086" s="311">
        <f>J1086</f>
        <v>100</v>
      </c>
      <c r="M1086" s="132"/>
    </row>
    <row r="1087" spans="1:14">
      <c r="A1087" s="63"/>
      <c r="B1087" s="83"/>
      <c r="C1087" s="65" t="s">
        <v>45</v>
      </c>
      <c r="D1087" s="66">
        <f>SUM(D1086:D1086)</f>
        <v>5000000</v>
      </c>
      <c r="E1087" s="122">
        <f>SUM(E1086:E1086)</f>
        <v>0</v>
      </c>
      <c r="F1087" s="66">
        <f>SUM(F1086:F1086)</f>
        <v>0</v>
      </c>
      <c r="G1087" s="195">
        <f>G1086</f>
        <v>5000000</v>
      </c>
      <c r="H1087" s="534">
        <f>G1087/D1087*100</f>
        <v>100</v>
      </c>
      <c r="I1087" s="530">
        <f t="shared" si="416"/>
        <v>5000000</v>
      </c>
      <c r="J1087" s="531">
        <f t="shared" si="417"/>
        <v>100</v>
      </c>
      <c r="K1087" s="333">
        <f>SUM(K1086)</f>
        <v>0.75</v>
      </c>
      <c r="L1087" s="302">
        <f>SUM(L1086)</f>
        <v>100</v>
      </c>
      <c r="M1087" s="66"/>
    </row>
    <row r="1088" spans="1:14">
      <c r="A1088" s="87" t="s">
        <v>69</v>
      </c>
      <c r="B1088" s="826" t="s">
        <v>89</v>
      </c>
      <c r="C1088" s="827"/>
      <c r="D1088" s="70"/>
      <c r="E1088" s="123"/>
      <c r="F1088" s="134"/>
      <c r="G1088" s="123"/>
      <c r="H1088" s="156"/>
      <c r="I1088" s="123"/>
      <c r="J1088" s="156"/>
      <c r="K1088" s="156"/>
      <c r="L1088" s="156"/>
      <c r="M1088" s="134"/>
    </row>
    <row r="1089" spans="1:14">
      <c r="A1089" s="88"/>
      <c r="B1089" s="830" t="s">
        <v>88</v>
      </c>
      <c r="C1089" s="831"/>
      <c r="D1089" s="57"/>
      <c r="E1089" s="119"/>
      <c r="F1089" s="131"/>
      <c r="G1089" s="119"/>
      <c r="H1089" s="152"/>
      <c r="I1089" s="119"/>
      <c r="J1089" s="152"/>
      <c r="K1089" s="152"/>
      <c r="L1089" s="152"/>
      <c r="M1089" s="131"/>
    </row>
    <row r="1090" spans="1:14">
      <c r="A1090" s="89"/>
      <c r="B1090" s="61" t="s">
        <v>26</v>
      </c>
      <c r="C1090" s="90" t="s">
        <v>74</v>
      </c>
      <c r="D1090" s="91">
        <v>15000000</v>
      </c>
      <c r="E1090" s="126">
        <v>0</v>
      </c>
      <c r="F1090" s="136">
        <v>0</v>
      </c>
      <c r="G1090" s="126">
        <v>15000000</v>
      </c>
      <c r="H1090" s="312">
        <f>G1090/D1090*100</f>
        <v>100</v>
      </c>
      <c r="I1090" s="313">
        <f>G1090</f>
        <v>15000000</v>
      </c>
      <c r="J1090" s="314">
        <f t="shared" ref="J1090:J1091" si="418">I1090/D1090*100</f>
        <v>100</v>
      </c>
      <c r="K1090" s="355">
        <f>9/12</f>
        <v>0.75</v>
      </c>
      <c r="L1090" s="311">
        <f>J1090</f>
        <v>100</v>
      </c>
      <c r="M1090" s="136"/>
    </row>
    <row r="1091" spans="1:14">
      <c r="A1091" s="63"/>
      <c r="B1091" s="83"/>
      <c r="C1091" s="65" t="s">
        <v>45</v>
      </c>
      <c r="D1091" s="66">
        <f>SUM(D1090:D1090)</f>
        <v>15000000</v>
      </c>
      <c r="E1091" s="122">
        <f>SUM(E1090:E1090)</f>
        <v>0</v>
      </c>
      <c r="F1091" s="66">
        <f>SUM(F1090:F1090)</f>
        <v>0</v>
      </c>
      <c r="G1091" s="532">
        <f>SUM(G1090)</f>
        <v>15000000</v>
      </c>
      <c r="H1091" s="323">
        <f>G1091/D1091*100</f>
        <v>100</v>
      </c>
      <c r="I1091" s="533">
        <f t="shared" ref="I1091" si="419">G1091</f>
        <v>15000000</v>
      </c>
      <c r="J1091" s="340">
        <f t="shared" si="418"/>
        <v>100</v>
      </c>
      <c r="K1091" s="333">
        <f>SUM(K1090)</f>
        <v>0.75</v>
      </c>
      <c r="L1091" s="302">
        <f>SUM(L1090)</f>
        <v>100</v>
      </c>
      <c r="M1091" s="66"/>
    </row>
    <row r="1092" spans="1:14">
      <c r="A1092" s="88"/>
      <c r="B1092" s="826" t="s">
        <v>94</v>
      </c>
      <c r="C1092" s="827"/>
      <c r="D1092" s="57"/>
      <c r="E1092" s="119"/>
      <c r="F1092" s="131"/>
      <c r="G1092" s="119"/>
      <c r="H1092" s="152"/>
      <c r="I1092" s="119"/>
      <c r="J1092" s="152"/>
      <c r="K1092" s="152"/>
      <c r="L1092" s="152"/>
      <c r="M1092" s="131"/>
    </row>
    <row r="1093" spans="1:14">
      <c r="A1093" s="84"/>
      <c r="B1093" s="92" t="s">
        <v>26</v>
      </c>
      <c r="C1093" s="48" t="s">
        <v>134</v>
      </c>
      <c r="D1093" s="60">
        <v>4000000</v>
      </c>
      <c r="E1093" s="125">
        <v>0</v>
      </c>
      <c r="F1093" s="135">
        <v>0</v>
      </c>
      <c r="G1093" s="197">
        <v>4000000</v>
      </c>
      <c r="H1093" s="312">
        <f>G1093/D1093*100</f>
        <v>100</v>
      </c>
      <c r="I1093" s="197">
        <f>G1093</f>
        <v>4000000</v>
      </c>
      <c r="J1093" s="314">
        <f t="shared" ref="J1093:J1094" si="420">I1093/D1093*100</f>
        <v>100</v>
      </c>
      <c r="K1093" s="355">
        <f>9/12</f>
        <v>0.75</v>
      </c>
      <c r="L1093" s="301">
        <f>J1093</f>
        <v>100</v>
      </c>
      <c r="M1093" s="132"/>
    </row>
    <row r="1094" spans="1:14">
      <c r="A1094" s="93"/>
      <c r="B1094" s="64"/>
      <c r="C1094" s="65" t="s">
        <v>45</v>
      </c>
      <c r="D1094" s="66">
        <f>SUM(D1093:D1093)</f>
        <v>4000000</v>
      </c>
      <c r="E1094" s="66">
        <f t="shared" ref="E1094:F1094" si="421">SUM(E1088:E1093)</f>
        <v>0</v>
      </c>
      <c r="F1094" s="66">
        <f t="shared" si="421"/>
        <v>0</v>
      </c>
      <c r="G1094" s="122">
        <f>SUM(G1093)</f>
        <v>4000000</v>
      </c>
      <c r="H1094" s="323">
        <f>G1094/D1094*100</f>
        <v>100</v>
      </c>
      <c r="I1094" s="533">
        <f t="shared" ref="I1094" si="422">G1094</f>
        <v>4000000</v>
      </c>
      <c r="J1094" s="340">
        <f t="shared" si="420"/>
        <v>100</v>
      </c>
      <c r="K1094" s="356">
        <f>9/12</f>
        <v>0.75</v>
      </c>
      <c r="L1094" s="302">
        <f>J1094</f>
        <v>100</v>
      </c>
      <c r="M1094" s="66"/>
    </row>
    <row r="1095" spans="1:14">
      <c r="A1095" s="84">
        <v>16</v>
      </c>
      <c r="B1095" s="826" t="s">
        <v>75</v>
      </c>
      <c r="C1095" s="827"/>
      <c r="D1095" s="57"/>
      <c r="E1095" s="119"/>
      <c r="F1095" s="131"/>
      <c r="G1095" s="119"/>
      <c r="H1095" s="156"/>
      <c r="I1095" s="123"/>
      <c r="J1095" s="152"/>
      <c r="K1095" s="152"/>
      <c r="L1095" s="152"/>
      <c r="M1095" s="131"/>
    </row>
    <row r="1096" spans="1:14">
      <c r="A1096" s="84"/>
      <c r="B1096" s="94" t="s">
        <v>72</v>
      </c>
      <c r="C1096" s="95" t="s">
        <v>103</v>
      </c>
      <c r="D1096" s="80">
        <v>10000000</v>
      </c>
      <c r="E1096" s="124"/>
      <c r="F1096" s="131"/>
      <c r="G1096" s="218">
        <v>6000000</v>
      </c>
      <c r="H1096" s="312">
        <f>G1096/D1096*100</f>
        <v>60</v>
      </c>
      <c r="I1096" s="313">
        <f t="shared" ref="I1096" si="423">G1096</f>
        <v>6000000</v>
      </c>
      <c r="J1096" s="314">
        <f t="shared" ref="J1096" si="424">I1096/D1096*100</f>
        <v>60</v>
      </c>
      <c r="K1096" s="355">
        <f>9/12</f>
        <v>0.75</v>
      </c>
      <c r="L1096" s="311">
        <f>J1096</f>
        <v>60</v>
      </c>
      <c r="M1096" s="131"/>
    </row>
    <row r="1097" spans="1:14">
      <c r="A1097" s="93"/>
      <c r="B1097" s="83"/>
      <c r="C1097" s="65" t="s">
        <v>45</v>
      </c>
      <c r="D1097" s="66">
        <f>SUM(D1096)</f>
        <v>10000000</v>
      </c>
      <c r="E1097" s="66">
        <f t="shared" ref="E1097:F1097" si="425">SUM(E1095:E1096)</f>
        <v>0</v>
      </c>
      <c r="F1097" s="66">
        <f t="shared" si="425"/>
        <v>0</v>
      </c>
      <c r="G1097" s="122">
        <f>SUM(G1096)</f>
        <v>6000000</v>
      </c>
      <c r="H1097" s="302">
        <f t="shared" ref="H1097:J1097" si="426">SUM(H1096)</f>
        <v>60</v>
      </c>
      <c r="I1097" s="122">
        <f t="shared" si="426"/>
        <v>6000000</v>
      </c>
      <c r="J1097" s="302">
        <f t="shared" si="426"/>
        <v>60</v>
      </c>
      <c r="K1097" s="333">
        <f>SUM(K1096)</f>
        <v>0.75</v>
      </c>
      <c r="L1097" s="302">
        <f t="shared" ref="L1097" si="427">SUM(L1096)</f>
        <v>60</v>
      </c>
      <c r="M1097" s="66"/>
      <c r="N1097" s="161">
        <f>D1097-G1097</f>
        <v>4000000</v>
      </c>
    </row>
    <row r="1098" spans="1:14">
      <c r="A1098" s="84">
        <v>22</v>
      </c>
      <c r="B1098" s="826" t="s">
        <v>87</v>
      </c>
      <c r="C1098" s="827"/>
      <c r="D1098" s="57"/>
      <c r="E1098" s="119"/>
      <c r="F1098" s="131"/>
      <c r="G1098" s="119"/>
      <c r="H1098" s="152"/>
      <c r="I1098" s="119"/>
      <c r="J1098" s="152"/>
      <c r="K1098" s="152"/>
      <c r="L1098" s="152"/>
      <c r="M1098" s="131"/>
    </row>
    <row r="1099" spans="1:14" ht="25.5">
      <c r="A1099" s="84"/>
      <c r="B1099" s="47" t="s">
        <v>26</v>
      </c>
      <c r="C1099" s="95" t="s">
        <v>76</v>
      </c>
      <c r="D1099" s="60">
        <v>3500000</v>
      </c>
      <c r="E1099" s="125">
        <v>0</v>
      </c>
      <c r="F1099" s="135">
        <v>0</v>
      </c>
      <c r="G1099" s="197">
        <f>875000+875000</f>
        <v>1750000</v>
      </c>
      <c r="H1099" s="312">
        <f>G1099/D1099*100</f>
        <v>50</v>
      </c>
      <c r="I1099" s="197">
        <f>G1099</f>
        <v>1750000</v>
      </c>
      <c r="J1099" s="314">
        <f t="shared" ref="J1099:J1100" si="428">I1099/D1099*100</f>
        <v>50</v>
      </c>
      <c r="K1099" s="355">
        <f>9/12</f>
        <v>0.75</v>
      </c>
      <c r="L1099" s="311">
        <f>J1099</f>
        <v>50</v>
      </c>
      <c r="M1099" s="132"/>
    </row>
    <row r="1100" spans="1:14">
      <c r="A1100" s="63"/>
      <c r="B1100" s="83"/>
      <c r="C1100" s="65" t="s">
        <v>45</v>
      </c>
      <c r="D1100" s="66">
        <f>SUM(D1099:D1099)</f>
        <v>3500000</v>
      </c>
      <c r="E1100" s="66">
        <f t="shared" ref="E1100:F1100" si="429">SUM(E1097:E1099)</f>
        <v>0</v>
      </c>
      <c r="F1100" s="66">
        <f t="shared" si="429"/>
        <v>0</v>
      </c>
      <c r="G1100" s="122">
        <f>SUM(G1099)</f>
        <v>1750000</v>
      </c>
      <c r="H1100" s="535">
        <f>G1100/D1100*100</f>
        <v>50</v>
      </c>
      <c r="I1100" s="122">
        <f>SUM(I1099)</f>
        <v>1750000</v>
      </c>
      <c r="J1100" s="536">
        <f t="shared" si="428"/>
        <v>50</v>
      </c>
      <c r="K1100" s="333">
        <f>SUM(K1099)</f>
        <v>0.75</v>
      </c>
      <c r="L1100" s="302">
        <f>SUM(L1099)</f>
        <v>50</v>
      </c>
      <c r="M1100" s="66"/>
      <c r="N1100" s="161">
        <f>D1100-G1100</f>
        <v>1750000</v>
      </c>
    </row>
    <row r="1101" spans="1:14">
      <c r="A1101" s="44">
        <v>17</v>
      </c>
      <c r="B1101" s="822" t="s">
        <v>56</v>
      </c>
      <c r="C1101" s="823"/>
      <c r="D1101" s="57"/>
      <c r="E1101" s="119"/>
      <c r="F1101" s="131"/>
      <c r="G1101" s="119"/>
      <c r="H1101" s="152"/>
      <c r="I1101" s="119"/>
      <c r="J1101" s="152"/>
      <c r="K1101" s="152"/>
      <c r="L1101" s="152"/>
      <c r="M1101" s="131"/>
    </row>
    <row r="1102" spans="1:14">
      <c r="A1102" s="44"/>
      <c r="B1102" s="47">
        <v>19</v>
      </c>
      <c r="C1102" s="824" t="s">
        <v>91</v>
      </c>
      <c r="E1102" s="120"/>
      <c r="F1102" s="132"/>
      <c r="G1102" s="119"/>
      <c r="H1102" s="59"/>
      <c r="I1102" s="119"/>
      <c r="J1102" s="59"/>
      <c r="K1102" s="59"/>
      <c r="L1102" s="59"/>
      <c r="M1102" s="132"/>
    </row>
    <row r="1103" spans="1:14">
      <c r="A1103" s="44"/>
      <c r="B1103" s="163"/>
      <c r="C1103" s="825"/>
      <c r="D1103" s="60">
        <v>25000000</v>
      </c>
      <c r="E1103" s="164">
        <v>0</v>
      </c>
      <c r="F1103" s="165">
        <v>0</v>
      </c>
      <c r="G1103" s="330">
        <v>10070000</v>
      </c>
      <c r="H1103" s="312">
        <f>G1103/D1103*100</f>
        <v>40.28</v>
      </c>
      <c r="I1103" s="197">
        <f>G1103</f>
        <v>10070000</v>
      </c>
      <c r="J1103" s="314">
        <f t="shared" ref="J1103" si="430">I1103/D1103*100</f>
        <v>40.28</v>
      </c>
      <c r="K1103" s="355">
        <f>9/12</f>
        <v>0.75</v>
      </c>
      <c r="L1103" s="314">
        <f>J1103</f>
        <v>40.28</v>
      </c>
      <c r="M1103" s="165"/>
    </row>
    <row r="1104" spans="1:14">
      <c r="A1104" s="63"/>
      <c r="B1104" s="96"/>
      <c r="C1104" s="65" t="s">
        <v>45</v>
      </c>
      <c r="D1104" s="66">
        <f>SUM(D1103:D1103)</f>
        <v>25000000</v>
      </c>
      <c r="E1104" s="122">
        <f>SUM(E1102:E1102)</f>
        <v>0</v>
      </c>
      <c r="F1104" s="137">
        <f>SUM(F1102:F1102)</f>
        <v>0</v>
      </c>
      <c r="G1104" s="122">
        <f>SUM(G1103)</f>
        <v>10070000</v>
      </c>
      <c r="H1104" s="302">
        <f>SUM(H1103)</f>
        <v>40.28</v>
      </c>
      <c r="I1104" s="122">
        <f>SUM(I1103)</f>
        <v>10070000</v>
      </c>
      <c r="J1104" s="324">
        <f>SUM(J1103)</f>
        <v>40.28</v>
      </c>
      <c r="K1104" s="333">
        <f>SUM(K1103)</f>
        <v>0.75</v>
      </c>
      <c r="L1104" s="340">
        <f>J1104</f>
        <v>40.28</v>
      </c>
      <c r="M1104" s="137"/>
      <c r="N1104" s="161">
        <f>D1104-G1104</f>
        <v>14930000</v>
      </c>
    </row>
    <row r="1105" spans="1:14">
      <c r="A1105" s="44">
        <v>19</v>
      </c>
      <c r="B1105" s="826" t="s">
        <v>57</v>
      </c>
      <c r="C1105" s="827"/>
      <c r="D1105" s="57"/>
      <c r="E1105" s="119"/>
      <c r="F1105" s="131"/>
      <c r="G1105" s="119"/>
      <c r="H1105" s="152"/>
      <c r="I1105" s="119"/>
      <c r="J1105" s="152"/>
      <c r="K1105" s="152"/>
      <c r="L1105" s="152"/>
      <c r="M1105" s="131"/>
    </row>
    <row r="1106" spans="1:14">
      <c r="A1106" s="44"/>
      <c r="B1106" s="47" t="s">
        <v>26</v>
      </c>
      <c r="C1106" s="48" t="s">
        <v>58</v>
      </c>
      <c r="D1106" s="60">
        <v>15000000</v>
      </c>
      <c r="E1106" s="120">
        <v>0</v>
      </c>
      <c r="F1106" s="132">
        <v>0</v>
      </c>
      <c r="G1106" s="197">
        <v>15000000</v>
      </c>
      <c r="H1106" s="59">
        <f>G1106/D1106*100</f>
        <v>100</v>
      </c>
      <c r="I1106" s="197">
        <f>G1106</f>
        <v>15000000</v>
      </c>
      <c r="J1106" s="301">
        <f>I1106/D1106*100</f>
        <v>100</v>
      </c>
      <c r="K1106" s="355">
        <f>9/12</f>
        <v>0.75</v>
      </c>
      <c r="L1106" s="311">
        <f>J1106</f>
        <v>100</v>
      </c>
      <c r="M1106" s="132"/>
    </row>
    <row r="1107" spans="1:14">
      <c r="A1107" s="183"/>
      <c r="B1107" s="64"/>
      <c r="C1107" s="65" t="s">
        <v>45</v>
      </c>
      <c r="D1107" s="66">
        <f>SUM(D1106)</f>
        <v>15000000</v>
      </c>
      <c r="E1107" s="122">
        <f>SUM(E1104:E1104)</f>
        <v>0</v>
      </c>
      <c r="F1107" s="66">
        <f>SUM(F1104:F1104)</f>
        <v>0</v>
      </c>
      <c r="G1107" s="122">
        <f>G1106</f>
        <v>15000000</v>
      </c>
      <c r="H1107" s="66">
        <f>G1107/D1107*100</f>
        <v>100</v>
      </c>
      <c r="I1107" s="122">
        <f>I1106</f>
        <v>15000000</v>
      </c>
      <c r="J1107" s="324">
        <f>I1107/D1107*100</f>
        <v>100</v>
      </c>
      <c r="K1107" s="333">
        <f>SUM(K1106)</f>
        <v>0.75</v>
      </c>
      <c r="L1107" s="302">
        <f>SUM(L1106)</f>
        <v>100</v>
      </c>
      <c r="M1107" s="66"/>
    </row>
    <row r="1108" spans="1:14">
      <c r="A1108" s="44">
        <v>32</v>
      </c>
      <c r="B1108" s="97" t="s">
        <v>59</v>
      </c>
      <c r="C1108" s="98"/>
      <c r="D1108" s="57"/>
      <c r="E1108" s="119"/>
      <c r="F1108" s="131"/>
      <c r="G1108" s="119"/>
      <c r="H1108" s="152"/>
      <c r="I1108" s="119"/>
      <c r="J1108" s="152"/>
      <c r="K1108" s="152"/>
      <c r="L1108" s="152"/>
      <c r="M1108" s="131"/>
    </row>
    <row r="1109" spans="1:14">
      <c r="A1109" s="44"/>
      <c r="B1109" s="47" t="s">
        <v>26</v>
      </c>
      <c r="C1109" s="58" t="s">
        <v>60</v>
      </c>
      <c r="D1109" s="60">
        <v>15000000</v>
      </c>
      <c r="E1109" s="120">
        <v>0</v>
      </c>
      <c r="F1109" s="132">
        <v>0</v>
      </c>
      <c r="G1109" s="197">
        <f>750000+225000+ 1500000+750000+7500000</f>
        <v>10725000</v>
      </c>
      <c r="H1109" s="301">
        <f>G1109/D1109*100</f>
        <v>71.5</v>
      </c>
      <c r="I1109" s="192">
        <f>G1109</f>
        <v>10725000</v>
      </c>
      <c r="J1109" s="301">
        <f>I1109/D1109*100</f>
        <v>71.5</v>
      </c>
      <c r="K1109" s="355">
        <f>9/12</f>
        <v>0.75</v>
      </c>
      <c r="L1109" s="311">
        <f>J1109</f>
        <v>71.5</v>
      </c>
      <c r="M1109" s="132"/>
    </row>
    <row r="1110" spans="1:14">
      <c r="A1110" s="63"/>
      <c r="B1110" s="64"/>
      <c r="C1110" s="65" t="s">
        <v>45</v>
      </c>
      <c r="D1110" s="66">
        <f>SUM(D1109)</f>
        <v>15000000</v>
      </c>
      <c r="E1110" s="122">
        <f>SUM(E1109:E1109)</f>
        <v>0</v>
      </c>
      <c r="F1110" s="66">
        <f>SUM(F1109:F1109)</f>
        <v>0</v>
      </c>
      <c r="G1110" s="122">
        <f>G1109</f>
        <v>10725000</v>
      </c>
      <c r="H1110" s="302">
        <f>G1110/D1110*100</f>
        <v>71.5</v>
      </c>
      <c r="I1110" s="122">
        <f>I1109</f>
        <v>10725000</v>
      </c>
      <c r="J1110" s="302">
        <f>I1110/D1110*100</f>
        <v>71.5</v>
      </c>
      <c r="K1110" s="333">
        <f>SUM(K1109:K1109)</f>
        <v>0.75</v>
      </c>
      <c r="L1110" s="302">
        <f>SUM(L1109:L1109)</f>
        <v>71.5</v>
      </c>
      <c r="M1110" s="66"/>
      <c r="N1110" s="161">
        <f>D1110-G1110</f>
        <v>4275000</v>
      </c>
    </row>
    <row r="1111" spans="1:14">
      <c r="A1111" s="99">
        <v>15</v>
      </c>
      <c r="B1111" s="100" t="s">
        <v>77</v>
      </c>
      <c r="C1111" s="664"/>
      <c r="D1111" s="70"/>
      <c r="E1111" s="123"/>
      <c r="F1111" s="134"/>
      <c r="G1111" s="123"/>
      <c r="H1111" s="156"/>
      <c r="I1111" s="123"/>
      <c r="J1111" s="144"/>
      <c r="K1111" s="156"/>
      <c r="L1111" s="156"/>
      <c r="M1111" s="134"/>
    </row>
    <row r="1112" spans="1:14">
      <c r="A1112" s="84"/>
      <c r="B1112" s="101" t="s">
        <v>78</v>
      </c>
      <c r="C1112" s="48"/>
      <c r="D1112" s="102"/>
      <c r="E1112" s="119"/>
      <c r="F1112" s="131"/>
      <c r="G1112" s="119"/>
      <c r="H1112" s="152"/>
      <c r="I1112" s="119"/>
      <c r="J1112" s="59"/>
      <c r="K1112" s="152"/>
      <c r="L1112" s="152"/>
      <c r="M1112" s="131"/>
    </row>
    <row r="1113" spans="1:14">
      <c r="A1113" s="44"/>
      <c r="B1113" s="47" t="s">
        <v>26</v>
      </c>
      <c r="C1113" s="48" t="s">
        <v>79</v>
      </c>
      <c r="D1113" s="60">
        <v>5000000</v>
      </c>
      <c r="E1113" s="120">
        <v>0</v>
      </c>
      <c r="F1113" s="132">
        <v>0</v>
      </c>
      <c r="G1113" s="199">
        <v>5000000</v>
      </c>
      <c r="H1113" s="59">
        <f>G1113/D1113*100</f>
        <v>100</v>
      </c>
      <c r="I1113" s="199">
        <f>G1113</f>
        <v>5000000</v>
      </c>
      <c r="J1113" s="301">
        <f>I1113/D1113*100</f>
        <v>100</v>
      </c>
      <c r="K1113" s="355">
        <f>9/12</f>
        <v>0.75</v>
      </c>
      <c r="L1113" s="301">
        <f>J1113</f>
        <v>100</v>
      </c>
      <c r="M1113" s="132"/>
    </row>
    <row r="1114" spans="1:14">
      <c r="A1114" s="89"/>
      <c r="B1114" s="61" t="s">
        <v>80</v>
      </c>
      <c r="C1114" s="103" t="s">
        <v>104</v>
      </c>
      <c r="D1114" s="91">
        <v>15000000</v>
      </c>
      <c r="E1114" s="127">
        <v>0</v>
      </c>
      <c r="F1114" s="138">
        <v>0</v>
      </c>
      <c r="G1114" s="197">
        <v>15000000</v>
      </c>
      <c r="H1114" s="59">
        <f>G1114/D1114*100</f>
        <v>100</v>
      </c>
      <c r="I1114" s="197">
        <f>G1114</f>
        <v>15000000</v>
      </c>
      <c r="J1114" s="301">
        <f>I1114/D1114*100</f>
        <v>100</v>
      </c>
      <c r="K1114" s="355">
        <f>9/12</f>
        <v>0.75</v>
      </c>
      <c r="L1114" s="301">
        <f>J1114</f>
        <v>100</v>
      </c>
      <c r="M1114" s="136"/>
    </row>
    <row r="1115" spans="1:14">
      <c r="A1115" s="93"/>
      <c r="B1115" s="83"/>
      <c r="C1115" s="65" t="s">
        <v>45</v>
      </c>
      <c r="D1115" s="66">
        <f>SUM(D1113:D1114)</f>
        <v>20000000</v>
      </c>
      <c r="E1115" s="66">
        <f>SUM(E1113:E1114)</f>
        <v>0</v>
      </c>
      <c r="F1115" s="66">
        <f t="shared" ref="F1115" si="431">SUM(F1113:F1114)</f>
        <v>0</v>
      </c>
      <c r="G1115" s="122">
        <f>SUM(G1113:G1114)</f>
        <v>20000000</v>
      </c>
      <c r="H1115" s="302">
        <f>G1115/D1115*100</f>
        <v>100</v>
      </c>
      <c r="I1115" s="537">
        <f>SUM(I1113:I1114)</f>
        <v>20000000</v>
      </c>
      <c r="J1115" s="302">
        <f>I1115/D1115*100</f>
        <v>100</v>
      </c>
      <c r="K1115" s="356">
        <f>K1114</f>
        <v>0.75</v>
      </c>
      <c r="L1115" s="302">
        <f>L1114</f>
        <v>100</v>
      </c>
      <c r="M1115" s="66"/>
    </row>
    <row r="1116" spans="1:14">
      <c r="A1116" s="84">
        <v>18</v>
      </c>
      <c r="B1116" s="75" t="s">
        <v>82</v>
      </c>
      <c r="C1116" s="76"/>
      <c r="D1116" s="57"/>
      <c r="E1116" s="119"/>
      <c r="F1116" s="131"/>
      <c r="G1116" s="119"/>
      <c r="H1116" s="152"/>
      <c r="I1116" s="119"/>
      <c r="J1116" s="152"/>
      <c r="K1116" s="152"/>
      <c r="L1116" s="152"/>
      <c r="M1116" s="131"/>
    </row>
    <row r="1117" spans="1:14" ht="26.25">
      <c r="A1117" s="84"/>
      <c r="B1117" s="94" t="s">
        <v>29</v>
      </c>
      <c r="C1117" s="48" t="s">
        <v>92</v>
      </c>
      <c r="D1117" s="60">
        <v>7500000</v>
      </c>
      <c r="E1117" s="120">
        <v>0</v>
      </c>
      <c r="F1117" s="132">
        <v>0</v>
      </c>
      <c r="G1117" s="199">
        <v>7500000</v>
      </c>
      <c r="H1117" s="301">
        <f>G1117/D1117*100</f>
        <v>100</v>
      </c>
      <c r="I1117" s="192">
        <f>G1117</f>
        <v>7500000</v>
      </c>
      <c r="J1117" s="301">
        <f>I1117/D1117*100</f>
        <v>100</v>
      </c>
      <c r="K1117" s="355">
        <f>9/12</f>
        <v>0.75</v>
      </c>
      <c r="L1117" s="311">
        <f>J1117</f>
        <v>100</v>
      </c>
      <c r="M1117" s="131"/>
    </row>
    <row r="1118" spans="1:14" ht="26.25">
      <c r="A1118" s="84"/>
      <c r="B1118" s="94" t="s">
        <v>83</v>
      </c>
      <c r="C1118" s="48" t="s">
        <v>93</v>
      </c>
      <c r="D1118" s="62">
        <v>10000000</v>
      </c>
      <c r="E1118" s="121">
        <v>0</v>
      </c>
      <c r="F1118" s="133">
        <v>0</v>
      </c>
      <c r="G1118" s="200">
        <v>10000000</v>
      </c>
      <c r="H1118" s="301">
        <f>G1118/D1118*100</f>
        <v>100</v>
      </c>
      <c r="I1118" s="200">
        <f>G1118</f>
        <v>10000000</v>
      </c>
      <c r="J1118" s="301">
        <f>I1118/D1118*100</f>
        <v>100</v>
      </c>
      <c r="K1118" s="355">
        <f>9/12</f>
        <v>0.75</v>
      </c>
      <c r="L1118" s="311">
        <f>J1118</f>
        <v>100</v>
      </c>
      <c r="M1118" s="131"/>
    </row>
    <row r="1119" spans="1:14">
      <c r="A1119" s="93"/>
      <c r="B1119" s="64"/>
      <c r="C1119" s="65" t="s">
        <v>45</v>
      </c>
      <c r="D1119" s="66">
        <f>SUM(D1117:D1118)</f>
        <v>17500000</v>
      </c>
      <c r="E1119" s="66">
        <f t="shared" ref="E1119:F1119" si="432">SUM(E1117:E1118)</f>
        <v>0</v>
      </c>
      <c r="F1119" s="66">
        <f t="shared" si="432"/>
        <v>0</v>
      </c>
      <c r="G1119" s="122">
        <f>SUM(G1117:G1118)</f>
        <v>17500000</v>
      </c>
      <c r="H1119" s="302">
        <f>G1119/D1119*100</f>
        <v>100</v>
      </c>
      <c r="I1119" s="122">
        <f t="shared" ref="I1119" si="433">SUM(I1117:I1118)</f>
        <v>17500000</v>
      </c>
      <c r="J1119" s="302">
        <f>I1119/D1119*100</f>
        <v>100</v>
      </c>
      <c r="K1119" s="356">
        <f>9/12</f>
        <v>0.75</v>
      </c>
      <c r="L1119" s="302">
        <f>SUM(L1118:L1118)</f>
        <v>100</v>
      </c>
      <c r="M1119" s="66"/>
    </row>
    <row r="1120" spans="1:14">
      <c r="A1120" s="99">
        <v>26</v>
      </c>
      <c r="B1120" s="104" t="s">
        <v>105</v>
      </c>
      <c r="C1120" s="105"/>
      <c r="D1120" s="57"/>
      <c r="E1120" s="119"/>
      <c r="F1120" s="131"/>
      <c r="G1120" s="119"/>
      <c r="H1120" s="152"/>
      <c r="I1120" s="119"/>
      <c r="J1120" s="152"/>
      <c r="K1120" s="152"/>
      <c r="L1120" s="152"/>
      <c r="M1120" s="131"/>
    </row>
    <row r="1121" spans="1:16">
      <c r="A1121" s="44"/>
      <c r="B1121" s="47" t="s">
        <v>84</v>
      </c>
      <c r="C1121" s="48" t="s">
        <v>106</v>
      </c>
      <c r="D1121" s="60">
        <v>5000000</v>
      </c>
      <c r="E1121" s="120" t="s">
        <v>132</v>
      </c>
      <c r="F1121" s="132">
        <v>0</v>
      </c>
      <c r="G1121" s="120">
        <v>5000000</v>
      </c>
      <c r="H1121" s="301">
        <f>G1121/D1121*100</f>
        <v>100</v>
      </c>
      <c r="I1121" s="192">
        <f>G1121</f>
        <v>5000000</v>
      </c>
      <c r="J1121" s="301">
        <f>I1121/D1121*100</f>
        <v>100</v>
      </c>
      <c r="K1121" s="157">
        <v>0</v>
      </c>
      <c r="L1121" s="59">
        <v>0</v>
      </c>
      <c r="M1121" s="132"/>
    </row>
    <row r="1122" spans="1:16">
      <c r="A1122" s="63"/>
      <c r="B1122" s="64"/>
      <c r="C1122" s="65" t="s">
        <v>45</v>
      </c>
      <c r="D1122" s="66">
        <f>SUM(D1121)</f>
        <v>5000000</v>
      </c>
      <c r="E1122" s="66">
        <v>0</v>
      </c>
      <c r="F1122" s="66">
        <f t="shared" ref="F1122" si="434">SUM(F1119:F1121)</f>
        <v>0</v>
      </c>
      <c r="G1122" s="122">
        <f>SUM(G1121)</f>
        <v>5000000</v>
      </c>
      <c r="H1122" s="302">
        <f>G1122/D1122*100</f>
        <v>100</v>
      </c>
      <c r="I1122" s="122">
        <f>SUM(I1121)</f>
        <v>5000000</v>
      </c>
      <c r="J1122" s="302">
        <f>I1122/D1122*100</f>
        <v>100</v>
      </c>
      <c r="K1122" s="66">
        <f>SUM(K1121)</f>
        <v>0</v>
      </c>
      <c r="L1122" s="66">
        <v>0</v>
      </c>
      <c r="M1122" s="66"/>
    </row>
    <row r="1123" spans="1:16">
      <c r="A1123" s="99">
        <v>16</v>
      </c>
      <c r="B1123" s="104" t="s">
        <v>123</v>
      </c>
      <c r="C1123" s="105"/>
      <c r="D1123" s="57"/>
      <c r="E1123" s="119"/>
      <c r="F1123" s="131"/>
      <c r="G1123" s="119"/>
      <c r="H1123" s="152"/>
      <c r="I1123" s="119"/>
      <c r="J1123" s="152"/>
      <c r="K1123" s="152"/>
      <c r="L1123" s="152"/>
      <c r="M1123" s="131"/>
    </row>
    <row r="1124" spans="1:16">
      <c r="A1124" s="84"/>
      <c r="B1124" s="185" t="s">
        <v>124</v>
      </c>
      <c r="C1124" s="186"/>
      <c r="D1124" s="182"/>
      <c r="E1124" s="124"/>
      <c r="F1124" s="131"/>
      <c r="G1124" s="131"/>
      <c r="H1124" s="152"/>
      <c r="I1124" s="131"/>
      <c r="J1124" s="152"/>
      <c r="K1124" s="152"/>
      <c r="L1124" s="152"/>
      <c r="M1124" s="152"/>
    </row>
    <row r="1125" spans="1:16" ht="26.25">
      <c r="A1125" s="44"/>
      <c r="B1125" s="282" t="s">
        <v>46</v>
      </c>
      <c r="C1125" s="50" t="s">
        <v>217</v>
      </c>
      <c r="D1125" s="60">
        <v>27000000</v>
      </c>
      <c r="E1125" s="125">
        <v>0</v>
      </c>
      <c r="F1125" s="135">
        <v>0</v>
      </c>
      <c r="G1125" s="124">
        <v>0</v>
      </c>
      <c r="H1125" s="59" t="s">
        <v>132</v>
      </c>
      <c r="I1125" s="124">
        <v>0</v>
      </c>
      <c r="J1125" s="59" t="s">
        <v>132</v>
      </c>
      <c r="K1125" s="59">
        <v>0</v>
      </c>
      <c r="L1125" s="59">
        <v>0</v>
      </c>
      <c r="M1125" s="59"/>
    </row>
    <row r="1126" spans="1:16">
      <c r="A1126" s="44"/>
      <c r="B1126" s="163" t="s">
        <v>111</v>
      </c>
      <c r="C1126" s="204" t="s">
        <v>81</v>
      </c>
      <c r="D1126" s="205">
        <v>3000000</v>
      </c>
      <c r="E1126" s="125">
        <v>0</v>
      </c>
      <c r="F1126" s="135">
        <v>0</v>
      </c>
      <c r="G1126" s="201">
        <v>0</v>
      </c>
      <c r="H1126" s="187" t="s">
        <v>132</v>
      </c>
      <c r="I1126" s="201" t="s">
        <v>132</v>
      </c>
      <c r="J1126" s="187" t="s">
        <v>132</v>
      </c>
      <c r="K1126" s="212">
        <v>0</v>
      </c>
      <c r="L1126" s="187"/>
      <c r="M1126" s="188"/>
      <c r="N1126" s="161">
        <f>D1126-G1126</f>
        <v>3000000</v>
      </c>
    </row>
    <row r="1127" spans="1:16">
      <c r="A1127" s="63"/>
      <c r="B1127" s="64"/>
      <c r="C1127" s="65" t="s">
        <v>45</v>
      </c>
      <c r="D1127" s="66">
        <f>SUM(D1125:D1126)</f>
        <v>30000000</v>
      </c>
      <c r="E1127" s="66">
        <f>SUM(E1125:E1126)</f>
        <v>0</v>
      </c>
      <c r="F1127" s="66">
        <f>SUM(F1125:F1126)</f>
        <v>0</v>
      </c>
      <c r="G1127" s="122" t="s">
        <v>132</v>
      </c>
      <c r="H1127" s="66" t="s">
        <v>132</v>
      </c>
      <c r="I1127" s="122">
        <f>SUM(I1125:I1126)</f>
        <v>0</v>
      </c>
      <c r="J1127" s="66" t="s">
        <v>132</v>
      </c>
      <c r="K1127" s="66">
        <f>SUM(K1125:K1126)</f>
        <v>0</v>
      </c>
      <c r="L1127" s="66">
        <f>SUM(L1125:L1126)</f>
        <v>0</v>
      </c>
      <c r="M1127" s="66"/>
    </row>
    <row r="1128" spans="1:16">
      <c r="A1128" s="99">
        <v>17</v>
      </c>
      <c r="B1128" s="104" t="s">
        <v>127</v>
      </c>
      <c r="C1128" s="105"/>
      <c r="D1128" s="57"/>
      <c r="E1128" s="119"/>
      <c r="F1128" s="131"/>
      <c r="G1128" s="119"/>
      <c r="H1128" s="152"/>
      <c r="I1128" s="119"/>
      <c r="J1128" s="152"/>
      <c r="K1128" s="152"/>
      <c r="L1128" s="152"/>
      <c r="M1128" s="131"/>
    </row>
    <row r="1129" spans="1:16" ht="26.25">
      <c r="A1129" s="44"/>
      <c r="B1129" s="47" t="s">
        <v>84</v>
      </c>
      <c r="C1129" s="48" t="s">
        <v>128</v>
      </c>
      <c r="D1129" s="60">
        <v>10000000</v>
      </c>
      <c r="E1129" s="120">
        <v>0</v>
      </c>
      <c r="F1129" s="132">
        <v>0</v>
      </c>
      <c r="G1129" s="120" t="s">
        <v>132</v>
      </c>
      <c r="H1129" s="59" t="s">
        <v>132</v>
      </c>
      <c r="I1129" s="120">
        <v>0</v>
      </c>
      <c r="J1129" s="59" t="s">
        <v>132</v>
      </c>
      <c r="K1129" s="157">
        <v>0</v>
      </c>
      <c r="L1129" s="59">
        <v>0</v>
      </c>
      <c r="M1129" s="132"/>
      <c r="P1129" s="544">
        <v>3900000</v>
      </c>
    </row>
    <row r="1130" spans="1:16">
      <c r="A1130" s="63"/>
      <c r="B1130" s="64"/>
      <c r="C1130" s="65" t="s">
        <v>45</v>
      </c>
      <c r="D1130" s="66">
        <f>SUM(D1129)</f>
        <v>10000000</v>
      </c>
      <c r="E1130" s="66">
        <f t="shared" ref="E1130:F1130" si="435">SUM(E1127:E1129)</f>
        <v>0</v>
      </c>
      <c r="F1130" s="66">
        <f t="shared" si="435"/>
        <v>0</v>
      </c>
      <c r="G1130" s="122" t="s">
        <v>132</v>
      </c>
      <c r="H1130" s="66" t="s">
        <v>132</v>
      </c>
      <c r="I1130" s="122" t="s">
        <v>132</v>
      </c>
      <c r="J1130" s="66" t="s">
        <v>132</v>
      </c>
      <c r="K1130" s="66">
        <f>SUM(K1129)</f>
        <v>0</v>
      </c>
      <c r="L1130" s="66">
        <v>0</v>
      </c>
      <c r="M1130" s="66"/>
      <c r="P1130" s="544">
        <v>342000</v>
      </c>
    </row>
    <row r="1131" spans="1:16">
      <c r="A1131" s="44">
        <v>18</v>
      </c>
      <c r="B1131" s="104" t="s">
        <v>218</v>
      </c>
      <c r="C1131" s="105"/>
      <c r="D1131" s="70"/>
      <c r="E1131" s="70"/>
      <c r="F1131" s="70"/>
      <c r="G1131" s="287"/>
      <c r="H1131" s="70"/>
      <c r="I1131" s="287"/>
      <c r="J1131" s="70"/>
      <c r="K1131" s="70"/>
      <c r="L1131" s="70"/>
      <c r="M1131" s="70"/>
      <c r="P1131" s="544">
        <f>SUM(P1129:P1130)</f>
        <v>4242000</v>
      </c>
    </row>
    <row r="1132" spans="1:16" ht="25.5">
      <c r="A1132" s="44"/>
      <c r="B1132" s="283" t="s">
        <v>83</v>
      </c>
      <c r="C1132" s="284" t="s">
        <v>219</v>
      </c>
      <c r="D1132" s="288">
        <v>50000000</v>
      </c>
      <c r="E1132" s="285">
        <v>0</v>
      </c>
      <c r="F1132" s="285">
        <v>0</v>
      </c>
      <c r="G1132" s="286">
        <v>16200000</v>
      </c>
      <c r="H1132" s="301">
        <f>G1132/D1132*100</f>
        <v>32.4</v>
      </c>
      <c r="I1132" s="286">
        <f>G1132</f>
        <v>16200000</v>
      </c>
      <c r="J1132" s="301">
        <f>I1132/D1132*100</f>
        <v>32.4</v>
      </c>
      <c r="K1132" s="157">
        <v>0</v>
      </c>
      <c r="L1132" s="285">
        <v>0</v>
      </c>
      <c r="M1132" s="285"/>
    </row>
    <row r="1133" spans="1:16">
      <c r="A1133" s="63"/>
      <c r="B1133" s="64"/>
      <c r="C1133" s="65" t="s">
        <v>45</v>
      </c>
      <c r="D1133" s="66">
        <f>SUM(D1132)</f>
        <v>50000000</v>
      </c>
      <c r="E1133" s="66">
        <v>0</v>
      </c>
      <c r="F1133" s="66">
        <v>0</v>
      </c>
      <c r="G1133" s="122">
        <f>SUM(G1132)</f>
        <v>16200000</v>
      </c>
      <c r="H1133" s="302">
        <f>G1133/D1133*100</f>
        <v>32.4</v>
      </c>
      <c r="I1133" s="122">
        <f>SUM(I1132)</f>
        <v>16200000</v>
      </c>
      <c r="J1133" s="302">
        <f>I1133/D1133*100</f>
        <v>32.4</v>
      </c>
      <c r="K1133" s="66">
        <f>SUM(K1132)</f>
        <v>0</v>
      </c>
      <c r="L1133" s="66">
        <v>0</v>
      </c>
      <c r="M1133" s="66"/>
    </row>
    <row r="1134" spans="1:16">
      <c r="A1134" s="44">
        <v>24</v>
      </c>
      <c r="B1134" s="104" t="s">
        <v>221</v>
      </c>
      <c r="C1134" s="105"/>
      <c r="D1134" s="70"/>
      <c r="E1134" s="70"/>
      <c r="F1134" s="70"/>
      <c r="G1134" s="287"/>
      <c r="H1134" s="70"/>
      <c r="I1134" s="287"/>
      <c r="J1134" s="70"/>
      <c r="K1134" s="70"/>
      <c r="L1134" s="70"/>
      <c r="M1134" s="70"/>
    </row>
    <row r="1135" spans="1:16">
      <c r="A1135" s="44"/>
      <c r="B1135" s="283" t="s">
        <v>83</v>
      </c>
      <c r="C1135" s="284" t="s">
        <v>222</v>
      </c>
      <c r="D1135" s="288">
        <v>50000000</v>
      </c>
      <c r="E1135" s="285">
        <v>0</v>
      </c>
      <c r="F1135" s="285">
        <v>0</v>
      </c>
      <c r="G1135" s="286">
        <v>0</v>
      </c>
      <c r="H1135" s="285">
        <v>0</v>
      </c>
      <c r="I1135" s="286">
        <v>0</v>
      </c>
      <c r="J1135" s="285">
        <v>0</v>
      </c>
      <c r="K1135" s="157">
        <v>0</v>
      </c>
      <c r="L1135" s="285">
        <v>0</v>
      </c>
      <c r="M1135" s="285"/>
      <c r="N1135" s="161">
        <f>D1135-G1135</f>
        <v>50000000</v>
      </c>
    </row>
    <row r="1136" spans="1:16">
      <c r="A1136" s="63"/>
      <c r="B1136" s="64"/>
      <c r="C1136" s="65" t="s">
        <v>45</v>
      </c>
      <c r="D1136" s="66">
        <f>SUM(D1135)</f>
        <v>50000000</v>
      </c>
      <c r="E1136" s="66">
        <v>0</v>
      </c>
      <c r="F1136" s="66">
        <v>0</v>
      </c>
      <c r="G1136" s="122">
        <v>0</v>
      </c>
      <c r="H1136" s="66">
        <v>0</v>
      </c>
      <c r="I1136" s="122">
        <v>0</v>
      </c>
      <c r="J1136" s="66">
        <v>0</v>
      </c>
      <c r="K1136" s="66">
        <f>SUM(K1135)</f>
        <v>0</v>
      </c>
      <c r="L1136" s="66">
        <v>0</v>
      </c>
      <c r="M1136" s="66"/>
    </row>
    <row r="1137" spans="1:14" ht="15.75" thickBot="1">
      <c r="A1137" s="166"/>
      <c r="B1137" s="167" t="s">
        <v>85</v>
      </c>
      <c r="C1137" s="106"/>
      <c r="D1137" s="107">
        <f>D1031+D1028</f>
        <v>3251325000</v>
      </c>
      <c r="E1137" s="107">
        <f>E1031+E1028</f>
        <v>0</v>
      </c>
      <c r="F1137" s="107">
        <f>F1031+F1028</f>
        <v>0</v>
      </c>
      <c r="G1137" s="107">
        <f>G1028+G1031</f>
        <v>2107814564</v>
      </c>
      <c r="H1137" s="213">
        <f>G1137/D1137*100</f>
        <v>64.829402289835684</v>
      </c>
      <c r="I1137" s="107">
        <f>I1031+I1028</f>
        <v>2107814564</v>
      </c>
      <c r="J1137" s="213">
        <f>I1137/D1137*100</f>
        <v>64.829402289835684</v>
      </c>
      <c r="K1137" s="674">
        <f>9/12</f>
        <v>0.75</v>
      </c>
      <c r="L1137" s="213">
        <f>J1137</f>
        <v>64.829402289835684</v>
      </c>
      <c r="M1137" s="158"/>
      <c r="N1137" s="161">
        <f>N1135+N1126+N1110+N1104+N1100+N1097+N1084+N1061+N1058+N1048</f>
        <v>195218569</v>
      </c>
    </row>
    <row r="1138" spans="1:14" ht="15.75" thickTop="1">
      <c r="A1138" s="342"/>
      <c r="B1138" s="343"/>
      <c r="C1138" s="344"/>
      <c r="D1138" s="345"/>
      <c r="E1138" s="345"/>
      <c r="F1138" s="345"/>
      <c r="G1138" s="670"/>
      <c r="H1138" s="529"/>
      <c r="I1138" s="345"/>
      <c r="J1138" s="346"/>
      <c r="K1138" s="347"/>
      <c r="L1138" s="346"/>
      <c r="M1138" s="348"/>
    </row>
    <row r="1139" spans="1:14">
      <c r="A1139" s="168"/>
      <c r="B1139" s="169"/>
      <c r="C1139" s="170"/>
      <c r="D1139" s="171"/>
      <c r="E1139" s="108"/>
      <c r="G1139" s="526"/>
      <c r="H1139" s="128"/>
      <c r="I1139" s="159" t="s">
        <v>539</v>
      </c>
      <c r="J1139" s="128"/>
      <c r="L1139" s="128"/>
      <c r="M1139" s="128"/>
      <c r="N1139" s="161">
        <v>215965609</v>
      </c>
    </row>
    <row r="1140" spans="1:14">
      <c r="A1140" s="172"/>
      <c r="B1140" s="169"/>
      <c r="C1140" s="173"/>
      <c r="D1140" s="171"/>
      <c r="E1140" s="174"/>
      <c r="H1140" s="128"/>
      <c r="I1140" s="159" t="s">
        <v>86</v>
      </c>
      <c r="J1140" s="128"/>
      <c r="L1140" s="128"/>
      <c r="M1140" s="128"/>
      <c r="N1140" s="161">
        <f>N1139-N1137</f>
        <v>20747040</v>
      </c>
    </row>
    <row r="1141" spans="1:14">
      <c r="A1141" s="172"/>
      <c r="B1141" s="169"/>
      <c r="C1141" s="173"/>
      <c r="D1141" s="171"/>
      <c r="E1141" s="174"/>
      <c r="H1141" s="128"/>
      <c r="I1141" s="159"/>
      <c r="J1141" s="128"/>
      <c r="L1141" s="128"/>
      <c r="M1141" s="128"/>
      <c r="N1141" s="161">
        <v>62000000</v>
      </c>
    </row>
    <row r="1142" spans="1:14">
      <c r="A1142" s="172"/>
      <c r="B1142" s="169"/>
      <c r="C1142" s="173"/>
      <c r="D1142" s="171"/>
      <c r="E1142" s="108"/>
      <c r="H1142" s="128"/>
      <c r="I1142" s="159"/>
      <c r="J1142" s="128"/>
      <c r="L1142" s="128"/>
      <c r="M1142" s="128"/>
      <c r="N1142" s="161">
        <f>N1139/N1141</f>
        <v>3.4833162741935482</v>
      </c>
    </row>
    <row r="1143" spans="1:14">
      <c r="A1143" s="175"/>
      <c r="B1143" s="176"/>
      <c r="C1143" s="177"/>
      <c r="D1143" s="171"/>
      <c r="E1143" s="108"/>
      <c r="G1143" s="128" t="s">
        <v>227</v>
      </c>
      <c r="H1143" s="128"/>
      <c r="I1143" s="160" t="s">
        <v>120</v>
      </c>
      <c r="J1143" s="128"/>
      <c r="L1143" s="128"/>
      <c r="M1143" s="128"/>
    </row>
    <row r="1144" spans="1:14">
      <c r="A1144" s="175"/>
      <c r="B1144" s="176"/>
      <c r="C1144" s="177"/>
      <c r="D1144" s="175"/>
      <c r="E1144" s="108"/>
      <c r="H1144" s="128"/>
      <c r="I1144" s="159" t="s">
        <v>491</v>
      </c>
      <c r="J1144" s="128"/>
      <c r="L1144" s="128"/>
      <c r="M1144" s="128"/>
    </row>
    <row r="1145" spans="1:14">
      <c r="A1145" s="175"/>
      <c r="B1145" s="176"/>
      <c r="C1145" s="177"/>
      <c r="D1145" s="175"/>
      <c r="E1145" s="108"/>
      <c r="H1145" s="128"/>
      <c r="I1145" s="159" t="s">
        <v>121</v>
      </c>
      <c r="J1145" s="128"/>
      <c r="L1145" s="128"/>
      <c r="M1145" s="128"/>
    </row>
    <row r="1146" spans="1:14" ht="15.75">
      <c r="A1146" s="832" t="s">
        <v>223</v>
      </c>
      <c r="B1146" s="832"/>
      <c r="C1146" s="832"/>
      <c r="D1146" s="832"/>
      <c r="E1146" s="832"/>
      <c r="F1146" s="832"/>
      <c r="G1146" s="832"/>
      <c r="H1146" s="832"/>
      <c r="I1146" s="832"/>
      <c r="J1146" s="832"/>
      <c r="K1146" s="832"/>
      <c r="L1146" s="832"/>
      <c r="M1146" s="832"/>
    </row>
    <row r="1147" spans="1:14" ht="15.75">
      <c r="A1147" s="832" t="s">
        <v>224</v>
      </c>
      <c r="B1147" s="832"/>
      <c r="C1147" s="832"/>
      <c r="D1147" s="832"/>
      <c r="E1147" s="832"/>
      <c r="F1147" s="832"/>
      <c r="G1147" s="832"/>
      <c r="H1147" s="832"/>
      <c r="I1147" s="832"/>
      <c r="J1147" s="832"/>
      <c r="K1147" s="832"/>
      <c r="L1147" s="832"/>
      <c r="M1147" s="832"/>
    </row>
    <row r="1148" spans="1:14" ht="15.75">
      <c r="A1148" s="700"/>
      <c r="B1148" s="700"/>
      <c r="C1148" s="700"/>
      <c r="D1148" s="700"/>
      <c r="E1148" s="700"/>
      <c r="F1148" s="700"/>
      <c r="G1148" s="303"/>
      <c r="H1148" s="700"/>
      <c r="I1148" s="700"/>
      <c r="J1148" s="700"/>
      <c r="K1148" s="303"/>
      <c r="L1148" s="700"/>
      <c r="M1148" s="700"/>
    </row>
    <row r="1149" spans="1:14" ht="16.5">
      <c r="A1149" s="1" t="s">
        <v>213</v>
      </c>
      <c r="B1149" s="2"/>
      <c r="C1149" s="3" t="s">
        <v>2</v>
      </c>
      <c r="E1149" s="108"/>
      <c r="G1149" s="669"/>
      <c r="H1149" s="4"/>
      <c r="I1149" s="5"/>
      <c r="J1149" s="4"/>
      <c r="M1149" s="4"/>
    </row>
    <row r="1150" spans="1:14" ht="17.25" thickBot="1">
      <c r="A1150" s="14" t="s">
        <v>225</v>
      </c>
      <c r="B1150" s="14"/>
      <c r="C1150" s="292" t="s">
        <v>544</v>
      </c>
      <c r="D1150" s="129"/>
      <c r="E1150" s="109"/>
      <c r="F1150" s="129"/>
      <c r="G1150" s="305"/>
      <c r="H1150" s="14"/>
      <c r="I1150" s="16"/>
      <c r="J1150" s="14"/>
      <c r="K1150" s="129"/>
      <c r="L1150" s="15"/>
      <c r="M1150" s="14"/>
    </row>
    <row r="1151" spans="1:14" ht="15.75" thickTop="1">
      <c r="A1151" s="833" t="s">
        <v>3</v>
      </c>
      <c r="B1151" s="836" t="s">
        <v>4</v>
      </c>
      <c r="C1151" s="837"/>
      <c r="D1151" s="289" t="s">
        <v>5</v>
      </c>
      <c r="E1151" s="110" t="s">
        <v>6</v>
      </c>
      <c r="F1151" s="130"/>
      <c r="G1151" s="842" t="s">
        <v>7</v>
      </c>
      <c r="H1151" s="843"/>
      <c r="I1151" s="843"/>
      <c r="J1151" s="843"/>
      <c r="K1151" s="844" t="s">
        <v>8</v>
      </c>
      <c r="L1151" s="844"/>
      <c r="M1151" s="833" t="s">
        <v>9</v>
      </c>
    </row>
    <row r="1152" spans="1:14">
      <c r="A1152" s="834"/>
      <c r="B1152" s="838"/>
      <c r="C1152" s="839"/>
      <c r="D1152" s="290" t="s">
        <v>10</v>
      </c>
      <c r="E1152" s="111" t="s">
        <v>11</v>
      </c>
      <c r="F1152" s="111" t="s">
        <v>12</v>
      </c>
      <c r="G1152" s="111" t="s">
        <v>13</v>
      </c>
      <c r="H1152" s="845" t="s">
        <v>14</v>
      </c>
      <c r="I1152" s="6" t="s">
        <v>15</v>
      </c>
      <c r="J1152" s="846" t="s">
        <v>14</v>
      </c>
      <c r="K1152" s="321" t="s">
        <v>16</v>
      </c>
      <c r="L1152" s="7" t="s">
        <v>17</v>
      </c>
      <c r="M1152" s="834"/>
    </row>
    <row r="1153" spans="1:16">
      <c r="A1153" s="835"/>
      <c r="B1153" s="840"/>
      <c r="C1153" s="841"/>
      <c r="D1153" s="291" t="s">
        <v>18</v>
      </c>
      <c r="E1153" s="112" t="s">
        <v>18</v>
      </c>
      <c r="F1153" s="112"/>
      <c r="G1153" s="306" t="s">
        <v>19</v>
      </c>
      <c r="H1153" s="835"/>
      <c r="I1153" s="8" t="s">
        <v>19</v>
      </c>
      <c r="J1153" s="847"/>
      <c r="K1153" s="322" t="s">
        <v>233</v>
      </c>
      <c r="L1153" s="9" t="s">
        <v>233</v>
      </c>
      <c r="M1153" s="835"/>
    </row>
    <row r="1154" spans="1:16" ht="15.75" thickBot="1">
      <c r="A1154" s="17">
        <v>1</v>
      </c>
      <c r="B1154" s="828">
        <v>2</v>
      </c>
      <c r="C1154" s="829"/>
      <c r="D1154" s="113">
        <v>3</v>
      </c>
      <c r="E1154" s="113">
        <v>4</v>
      </c>
      <c r="F1154" s="113">
        <v>5</v>
      </c>
      <c r="G1154" s="113">
        <v>6</v>
      </c>
      <c r="H1154" s="18">
        <v>7</v>
      </c>
      <c r="I1154" s="18">
        <v>8</v>
      </c>
      <c r="J1154" s="18">
        <v>9</v>
      </c>
      <c r="K1154" s="113">
        <v>10</v>
      </c>
      <c r="L1154" s="18">
        <v>11</v>
      </c>
      <c r="M1154" s="18">
        <v>12</v>
      </c>
    </row>
    <row r="1155" spans="1:16" ht="15.75" thickBot="1">
      <c r="A1155" s="35" t="s">
        <v>20</v>
      </c>
      <c r="B1155" s="36" t="s">
        <v>21</v>
      </c>
      <c r="C1155" s="37"/>
      <c r="D1155" s="30">
        <f>D1156+D1157</f>
        <v>2257113000</v>
      </c>
      <c r="E1155" s="30">
        <f>E1156</f>
        <v>0</v>
      </c>
      <c r="F1155" s="30">
        <v>0</v>
      </c>
      <c r="G1155" s="30">
        <f>G1156+G1157</f>
        <v>1605769813</v>
      </c>
      <c r="H1155" s="214">
        <f>G1155/D1155*100</f>
        <v>71.142641640006502</v>
      </c>
      <c r="I1155" s="30">
        <f>G1155</f>
        <v>1605769813</v>
      </c>
      <c r="J1155" s="217">
        <f>I1155/D1155*100</f>
        <v>71.142641640006502</v>
      </c>
      <c r="K1155" s="332">
        <f>10/12</f>
        <v>0.83333333333333337</v>
      </c>
      <c r="L1155" s="215">
        <f>J1155</f>
        <v>71.142641640006502</v>
      </c>
      <c r="M1155" s="53"/>
    </row>
    <row r="1156" spans="1:16" ht="15.75" thickBot="1">
      <c r="A1156" s="38" t="s">
        <v>22</v>
      </c>
      <c r="B1156" s="39" t="s">
        <v>23</v>
      </c>
      <c r="C1156" s="40"/>
      <c r="D1156" s="31">
        <v>1872153000</v>
      </c>
      <c r="E1156" s="114">
        <v>0</v>
      </c>
      <c r="F1156" s="30">
        <v>0</v>
      </c>
      <c r="G1156" s="30">
        <v>1311512995</v>
      </c>
      <c r="H1156" s="214">
        <f>G1156/D1156*100</f>
        <v>70.053729315926631</v>
      </c>
      <c r="I1156" s="296">
        <f>G1156</f>
        <v>1311512995</v>
      </c>
      <c r="J1156" s="217">
        <f>I1156/D1156*100</f>
        <v>70.053729315926631</v>
      </c>
      <c r="K1156" s="332">
        <f>10/12</f>
        <v>0.83333333333333337</v>
      </c>
      <c r="L1156" s="215">
        <f>J1156</f>
        <v>70.053729315926631</v>
      </c>
      <c r="M1156" s="146"/>
    </row>
    <row r="1157" spans="1:16" ht="15.75" thickBot="1">
      <c r="A1157" s="139"/>
      <c r="B1157" s="140" t="s">
        <v>107</v>
      </c>
      <c r="C1157" s="141"/>
      <c r="D1157" s="31">
        <v>384960000</v>
      </c>
      <c r="E1157" s="114">
        <v>0</v>
      </c>
      <c r="F1157" s="30">
        <v>0</v>
      </c>
      <c r="G1157" s="351">
        <v>294256818</v>
      </c>
      <c r="H1157" s="214">
        <f>G1157/D1157*100</f>
        <v>76.438283977556111</v>
      </c>
      <c r="I1157" s="296">
        <f>G1157</f>
        <v>294256818</v>
      </c>
      <c r="J1157" s="217">
        <f>I1157/D1157*100</f>
        <v>76.438283977556111</v>
      </c>
      <c r="K1157" s="332">
        <f>10/12</f>
        <v>0.83333333333333337</v>
      </c>
      <c r="L1157" s="215">
        <f>J1157</f>
        <v>76.438283977556111</v>
      </c>
      <c r="M1157" s="149"/>
      <c r="N1157" s="161">
        <v>51150000</v>
      </c>
    </row>
    <row r="1158" spans="1:16" ht="15.75" thickBot="1">
      <c r="A1158" s="35" t="s">
        <v>24</v>
      </c>
      <c r="B1158" s="36" t="s">
        <v>25</v>
      </c>
      <c r="C1158" s="37"/>
      <c r="D1158" s="30">
        <f>D1175+D1185+D1188+D1192+D1195+D1198+D1204+D1207+D1211+D1214+D1218+D1221+D1224+D1227+D1231+D1234+D1237+D1242+D1246+D1249+D1254+D1257+D1260+D1263</f>
        <v>994212000</v>
      </c>
      <c r="E1158" s="30">
        <v>0</v>
      </c>
      <c r="F1158" s="30">
        <v>0</v>
      </c>
      <c r="G1158" s="30">
        <f>G1175+G1185+G1214+G1218+G1234+G1237+G1224+G1227+G1231+G1246+G1198+G1211+G1242+G1195+G1192+G1221+G1207+G1204+G1249+G1260+G1254</f>
        <v>759696677</v>
      </c>
      <c r="H1158" s="215">
        <f>G1158/D1158*100</f>
        <v>76.411940008770756</v>
      </c>
      <c r="I1158" s="296">
        <f>G1158</f>
        <v>759696677</v>
      </c>
      <c r="J1158" s="217">
        <f>I1158/D1158*100</f>
        <v>76.411940008770756</v>
      </c>
      <c r="K1158" s="332">
        <f>10/12</f>
        <v>0.83333333333333337</v>
      </c>
      <c r="L1158" s="215">
        <f>J1158</f>
        <v>76.411940008770756</v>
      </c>
      <c r="M1158" s="30"/>
      <c r="N1158" s="161">
        <f>D1158-G1158</f>
        <v>234515323</v>
      </c>
      <c r="O1158" s="544">
        <v>79228000</v>
      </c>
      <c r="P1158" s="712"/>
    </row>
    <row r="1159" spans="1:16">
      <c r="A1159" s="41" t="s">
        <v>26</v>
      </c>
      <c r="B1159" s="42" t="s">
        <v>27</v>
      </c>
      <c r="C1159" s="43"/>
      <c r="D1159" s="32"/>
      <c r="E1159" s="115"/>
      <c r="F1159" s="32"/>
      <c r="G1159" s="150"/>
      <c r="H1159" s="151"/>
      <c r="I1159" s="191"/>
      <c r="J1159" s="150"/>
      <c r="K1159" s="32"/>
      <c r="L1159" s="32"/>
      <c r="M1159" s="32"/>
      <c r="N1159" s="745"/>
      <c r="O1159" s="544">
        <f>N1158-O1158-N1157</f>
        <v>104137323</v>
      </c>
      <c r="P1159" s="712"/>
    </row>
    <row r="1160" spans="1:16">
      <c r="A1160" s="44"/>
      <c r="B1160" s="45" t="s">
        <v>26</v>
      </c>
      <c r="C1160" s="46" t="s">
        <v>28</v>
      </c>
      <c r="D1160" s="525">
        <v>6000000</v>
      </c>
      <c r="E1160" s="116">
        <v>0</v>
      </c>
      <c r="F1160" s="131">
        <v>0</v>
      </c>
      <c r="G1160" s="192">
        <f>999000+501000+250000+250000+250000+250000+249000+750000</f>
        <v>3499000</v>
      </c>
      <c r="H1160" s="299">
        <f>G1160/D1160*100</f>
        <v>58.31666666666667</v>
      </c>
      <c r="I1160" s="192">
        <f>G1160</f>
        <v>3499000</v>
      </c>
      <c r="J1160" s="301">
        <f>H1160</f>
        <v>58.31666666666667</v>
      </c>
      <c r="K1160" s="331">
        <f>10/12</f>
        <v>0.83333333333333337</v>
      </c>
      <c r="L1160" s="311">
        <f>J1160</f>
        <v>58.31666666666667</v>
      </c>
      <c r="M1160" s="131"/>
      <c r="N1160" s="745">
        <v>2501000</v>
      </c>
      <c r="O1160" s="544">
        <v>62000000</v>
      </c>
      <c r="P1160" s="712">
        <f>D1160-G1160</f>
        <v>2501000</v>
      </c>
    </row>
    <row r="1161" spans="1:16">
      <c r="A1161" s="44"/>
      <c r="B1161" s="47" t="s">
        <v>29</v>
      </c>
      <c r="C1161" s="48" t="s">
        <v>30</v>
      </c>
      <c r="D1161" s="34">
        <v>8000000</v>
      </c>
      <c r="E1161" s="297">
        <v>0</v>
      </c>
      <c r="F1161" s="132">
        <v>0</v>
      </c>
      <c r="G1161" s="192">
        <v>2426553</v>
      </c>
      <c r="H1161" s="299">
        <f t="shared" ref="H1161:H1162" si="436">G1161/D1161*100</f>
        <v>30.331912500000001</v>
      </c>
      <c r="I1161" s="192">
        <f>G1161</f>
        <v>2426553</v>
      </c>
      <c r="J1161" s="301">
        <f>I1161/D1161*100</f>
        <v>30.331912500000001</v>
      </c>
      <c r="K1161" s="331">
        <f t="shared" ref="K1161:K1173" si="437">10/12</f>
        <v>0.83333333333333337</v>
      </c>
      <c r="L1161" s="311">
        <f t="shared" ref="L1161:L1174" si="438">J1161</f>
        <v>30.331912500000001</v>
      </c>
      <c r="M1161" s="132"/>
      <c r="N1161" s="745">
        <v>1573447</v>
      </c>
      <c r="O1161" s="544">
        <v>2</v>
      </c>
      <c r="P1161" s="712">
        <f t="shared" ref="P1161:P1174" si="439">D1161-G1161</f>
        <v>5573447</v>
      </c>
    </row>
    <row r="1162" spans="1:16">
      <c r="A1162" s="44"/>
      <c r="B1162" s="47" t="s">
        <v>29</v>
      </c>
      <c r="C1162" s="48" t="s">
        <v>31</v>
      </c>
      <c r="D1162" s="34">
        <v>5000000</v>
      </c>
      <c r="E1162" s="297">
        <v>0</v>
      </c>
      <c r="F1162" s="132">
        <v>0</v>
      </c>
      <c r="G1162" s="192">
        <v>2868400</v>
      </c>
      <c r="H1162" s="299">
        <f t="shared" si="436"/>
        <v>57.367999999999995</v>
      </c>
      <c r="I1162" s="192">
        <f t="shared" ref="I1162:I1163" si="440">G1162</f>
        <v>2868400</v>
      </c>
      <c r="J1162" s="301">
        <f t="shared" ref="J1162:J1171" si="441">I1162/D1162*100</f>
        <v>57.367999999999995</v>
      </c>
      <c r="K1162" s="331">
        <f t="shared" si="437"/>
        <v>0.83333333333333337</v>
      </c>
      <c r="L1162" s="311">
        <f t="shared" si="438"/>
        <v>57.367999999999995</v>
      </c>
      <c r="M1162" s="132"/>
      <c r="N1162" s="745">
        <v>2131600</v>
      </c>
      <c r="O1162" s="544">
        <f>O1160*O1161</f>
        <v>124000000</v>
      </c>
      <c r="P1162" s="712">
        <f t="shared" si="439"/>
        <v>2131600</v>
      </c>
    </row>
    <row r="1163" spans="1:16">
      <c r="A1163" s="44"/>
      <c r="B1163" s="47" t="s">
        <v>29</v>
      </c>
      <c r="C1163" s="48" t="s">
        <v>32</v>
      </c>
      <c r="D1163" s="34">
        <v>12000000</v>
      </c>
      <c r="E1163" s="297">
        <v>0</v>
      </c>
      <c r="F1163" s="132">
        <v>0</v>
      </c>
      <c r="G1163" s="192">
        <v>6053324</v>
      </c>
      <c r="H1163" s="299">
        <f>G1163/D1163*100</f>
        <v>50.44436666666666</v>
      </c>
      <c r="I1163" s="192">
        <f t="shared" si="440"/>
        <v>6053324</v>
      </c>
      <c r="J1163" s="301">
        <f t="shared" si="441"/>
        <v>50.44436666666666</v>
      </c>
      <c r="K1163" s="331">
        <f t="shared" si="437"/>
        <v>0.83333333333333337</v>
      </c>
      <c r="L1163" s="311">
        <f t="shared" si="438"/>
        <v>50.44436666666666</v>
      </c>
      <c r="M1163" s="132"/>
      <c r="N1163" s="745">
        <v>1946676</v>
      </c>
      <c r="O1163" s="544">
        <f>O1159-O1160</f>
        <v>42137323</v>
      </c>
      <c r="P1163" s="712">
        <f t="shared" si="439"/>
        <v>5946676</v>
      </c>
    </row>
    <row r="1164" spans="1:16">
      <c r="A1164" s="44"/>
      <c r="B1164" s="47" t="s">
        <v>33</v>
      </c>
      <c r="C1164" s="48" t="s">
        <v>34</v>
      </c>
      <c r="D1164" s="34">
        <v>12105000</v>
      </c>
      <c r="E1164" s="117">
        <v>0</v>
      </c>
      <c r="F1164" s="132">
        <v>0</v>
      </c>
      <c r="G1164" s="192">
        <v>10000000</v>
      </c>
      <c r="H1164" s="299">
        <f t="shared" ref="H1164:H1174" si="442">G1164/D1164*100</f>
        <v>82.610491532424618</v>
      </c>
      <c r="I1164" s="192">
        <f>G1164</f>
        <v>10000000</v>
      </c>
      <c r="J1164" s="301">
        <f t="shared" si="441"/>
        <v>82.610491532424618</v>
      </c>
      <c r="K1164" s="331">
        <f t="shared" si="437"/>
        <v>0.83333333333333337</v>
      </c>
      <c r="L1164" s="311">
        <f t="shared" si="438"/>
        <v>82.610491532424618</v>
      </c>
      <c r="M1164" s="132"/>
      <c r="N1164" s="745">
        <v>2105000</v>
      </c>
      <c r="O1164" s="544">
        <v>52000000</v>
      </c>
      <c r="P1164" s="712">
        <f t="shared" si="439"/>
        <v>2105000</v>
      </c>
    </row>
    <row r="1165" spans="1:16">
      <c r="A1165" s="44"/>
      <c r="B1165" s="47">
        <v>10</v>
      </c>
      <c r="C1165" s="48" t="s">
        <v>35</v>
      </c>
      <c r="D1165" s="34">
        <v>11895000</v>
      </c>
      <c r="E1165" s="117">
        <v>0</v>
      </c>
      <c r="F1165" s="132">
        <v>0</v>
      </c>
      <c r="G1165" s="192">
        <f>1500000+1000000+1000000+2250000+1000000+750000+2900000</f>
        <v>10400000</v>
      </c>
      <c r="H1165" s="299">
        <f t="shared" si="442"/>
        <v>87.431693989071036</v>
      </c>
      <c r="I1165" s="192">
        <f t="shared" ref="I1165:I1168" si="443">G1165</f>
        <v>10400000</v>
      </c>
      <c r="J1165" s="301">
        <f t="shared" si="441"/>
        <v>87.431693989071036</v>
      </c>
      <c r="K1165" s="331">
        <f t="shared" si="437"/>
        <v>0.83333333333333337</v>
      </c>
      <c r="L1165" s="311">
        <f t="shared" si="438"/>
        <v>87.431693989071036</v>
      </c>
      <c r="M1165" s="132"/>
      <c r="N1165" s="745">
        <v>1495000</v>
      </c>
      <c r="O1165" s="544">
        <f>O1164-O1163</f>
        <v>9862677</v>
      </c>
      <c r="P1165" s="712">
        <f t="shared" si="439"/>
        <v>1495000</v>
      </c>
    </row>
    <row r="1166" spans="1:16">
      <c r="A1166" s="44"/>
      <c r="B1166" s="47">
        <v>11</v>
      </c>
      <c r="C1166" s="48" t="s">
        <v>36</v>
      </c>
      <c r="D1166" s="34">
        <v>6000000</v>
      </c>
      <c r="E1166" s="117">
        <v>0</v>
      </c>
      <c r="F1166" s="132">
        <v>0</v>
      </c>
      <c r="G1166" s="192">
        <f>1000000+500000+750000+1700000+200000+350000+500000</f>
        <v>5000000</v>
      </c>
      <c r="H1166" s="299">
        <f t="shared" si="442"/>
        <v>83.333333333333343</v>
      </c>
      <c r="I1166" s="192">
        <f t="shared" si="443"/>
        <v>5000000</v>
      </c>
      <c r="J1166" s="301">
        <f t="shared" si="441"/>
        <v>83.333333333333343</v>
      </c>
      <c r="K1166" s="331">
        <f t="shared" si="437"/>
        <v>0.83333333333333337</v>
      </c>
      <c r="L1166" s="311">
        <f t="shared" si="438"/>
        <v>83.333333333333343</v>
      </c>
      <c r="M1166" s="132"/>
      <c r="N1166" s="745">
        <v>1000000</v>
      </c>
      <c r="P1166" s="712">
        <f t="shared" si="439"/>
        <v>1000000</v>
      </c>
    </row>
    <row r="1167" spans="1:16">
      <c r="A1167" s="44"/>
      <c r="B1167" s="47">
        <v>11</v>
      </c>
      <c r="C1167" s="48" t="s">
        <v>37</v>
      </c>
      <c r="D1167" s="34">
        <v>18000000</v>
      </c>
      <c r="E1167" s="117">
        <v>0</v>
      </c>
      <c r="F1167" s="132">
        <v>0</v>
      </c>
      <c r="G1167" s="192">
        <f>2525600+17850+34600+34000+2524800+370000+297800+11600000</f>
        <v>17404650</v>
      </c>
      <c r="H1167" s="299">
        <f t="shared" si="442"/>
        <v>96.69250000000001</v>
      </c>
      <c r="I1167" s="192">
        <f t="shared" si="443"/>
        <v>17404650</v>
      </c>
      <c r="J1167" s="301">
        <f t="shared" si="441"/>
        <v>96.69250000000001</v>
      </c>
      <c r="K1167" s="331">
        <f t="shared" si="437"/>
        <v>0.83333333333333337</v>
      </c>
      <c r="L1167" s="311">
        <f t="shared" si="438"/>
        <v>96.69250000000001</v>
      </c>
      <c r="M1167" s="132"/>
      <c r="N1167" s="745">
        <v>595350</v>
      </c>
      <c r="P1167" s="712">
        <f t="shared" si="439"/>
        <v>595350</v>
      </c>
    </row>
    <row r="1168" spans="1:16">
      <c r="A1168" s="44"/>
      <c r="B1168" s="47">
        <v>12</v>
      </c>
      <c r="C1168" s="48" t="s">
        <v>38</v>
      </c>
      <c r="D1168" s="34">
        <v>5000000</v>
      </c>
      <c r="E1168" s="117">
        <v>0</v>
      </c>
      <c r="F1168" s="132">
        <v>0</v>
      </c>
      <c r="G1168" s="192">
        <v>4225000</v>
      </c>
      <c r="H1168" s="299">
        <f t="shared" si="442"/>
        <v>84.5</v>
      </c>
      <c r="I1168" s="192">
        <f t="shared" si="443"/>
        <v>4225000</v>
      </c>
      <c r="J1168" s="301">
        <f t="shared" si="441"/>
        <v>84.5</v>
      </c>
      <c r="K1168" s="331">
        <f t="shared" si="437"/>
        <v>0.83333333333333337</v>
      </c>
      <c r="L1168" s="311">
        <f t="shared" si="438"/>
        <v>84.5</v>
      </c>
      <c r="M1168" s="132"/>
      <c r="N1168" s="745">
        <v>775000</v>
      </c>
      <c r="P1168" s="712">
        <f t="shared" si="439"/>
        <v>775000</v>
      </c>
    </row>
    <row r="1169" spans="1:19">
      <c r="A1169" s="44"/>
      <c r="B1169" s="47">
        <v>13</v>
      </c>
      <c r="C1169" s="48" t="s">
        <v>39</v>
      </c>
      <c r="D1169" s="34">
        <v>5000000</v>
      </c>
      <c r="E1169" s="117">
        <v>0</v>
      </c>
      <c r="F1169" s="132">
        <v>0</v>
      </c>
      <c r="G1169" s="192">
        <f>1000000+250000+500000+745000+750000+500000+700000</f>
        <v>4445000</v>
      </c>
      <c r="H1169" s="299">
        <f t="shared" si="442"/>
        <v>88.9</v>
      </c>
      <c r="I1169" s="192">
        <f>G1169</f>
        <v>4445000</v>
      </c>
      <c r="J1169" s="301">
        <f t="shared" si="441"/>
        <v>88.9</v>
      </c>
      <c r="K1169" s="331">
        <f t="shared" si="437"/>
        <v>0.83333333333333337</v>
      </c>
      <c r="L1169" s="311">
        <f t="shared" si="438"/>
        <v>88.9</v>
      </c>
      <c r="M1169" s="132"/>
      <c r="N1169" s="745">
        <v>555000</v>
      </c>
      <c r="P1169" s="712">
        <f t="shared" si="439"/>
        <v>555000</v>
      </c>
    </row>
    <row r="1170" spans="1:19">
      <c r="A1170" s="44"/>
      <c r="B1170" s="47">
        <v>15</v>
      </c>
      <c r="C1170" s="48" t="s">
        <v>40</v>
      </c>
      <c r="D1170" s="34">
        <v>3000000</v>
      </c>
      <c r="E1170" s="117">
        <v>0</v>
      </c>
      <c r="F1170" s="132">
        <v>0</v>
      </c>
      <c r="G1170" s="192">
        <f>260000+140000+260000+140000+120000+120000+240000</f>
        <v>1280000</v>
      </c>
      <c r="H1170" s="299">
        <f t="shared" si="442"/>
        <v>42.666666666666671</v>
      </c>
      <c r="I1170" s="192">
        <f t="shared" ref="I1170:I1171" si="444">G1170</f>
        <v>1280000</v>
      </c>
      <c r="J1170" s="301">
        <f t="shared" si="441"/>
        <v>42.666666666666671</v>
      </c>
      <c r="K1170" s="331">
        <f t="shared" si="437"/>
        <v>0.83333333333333337</v>
      </c>
      <c r="L1170" s="311">
        <f t="shared" si="438"/>
        <v>42.666666666666671</v>
      </c>
      <c r="M1170" s="132"/>
      <c r="N1170" s="745">
        <v>1720000</v>
      </c>
      <c r="P1170" s="712">
        <f t="shared" si="439"/>
        <v>1720000</v>
      </c>
    </row>
    <row r="1171" spans="1:19">
      <c r="A1171" s="44"/>
      <c r="B1171" s="47">
        <v>17</v>
      </c>
      <c r="C1171" s="48" t="s">
        <v>41</v>
      </c>
      <c r="D1171" s="34">
        <v>5000000</v>
      </c>
      <c r="E1171" s="117">
        <v>0</v>
      </c>
      <c r="F1171" s="132">
        <v>0</v>
      </c>
      <c r="G1171" s="192">
        <f>1000000+250000+750000+650000+900000+950000</f>
        <v>4500000</v>
      </c>
      <c r="H1171" s="299">
        <f t="shared" si="442"/>
        <v>90</v>
      </c>
      <c r="I1171" s="192">
        <f t="shared" si="444"/>
        <v>4500000</v>
      </c>
      <c r="J1171" s="301">
        <f t="shared" si="441"/>
        <v>90</v>
      </c>
      <c r="K1171" s="331">
        <f t="shared" si="437"/>
        <v>0.83333333333333337</v>
      </c>
      <c r="L1171" s="311">
        <f t="shared" si="438"/>
        <v>90</v>
      </c>
      <c r="M1171" s="132"/>
      <c r="N1171" s="745">
        <v>1749040</v>
      </c>
      <c r="P1171" s="712">
        <f t="shared" si="439"/>
        <v>500000</v>
      </c>
    </row>
    <row r="1172" spans="1:19">
      <c r="A1172" s="44"/>
      <c r="B1172" s="47">
        <v>17</v>
      </c>
      <c r="C1172" s="48" t="s">
        <v>42</v>
      </c>
      <c r="D1172" s="34">
        <v>7000000</v>
      </c>
      <c r="E1172" s="117">
        <v>0</v>
      </c>
      <c r="F1172" s="132">
        <v>0</v>
      </c>
      <c r="G1172" s="192">
        <f>1200000+400000+1800000+760000+760000+760000</f>
        <v>5680000</v>
      </c>
      <c r="H1172" s="299">
        <f t="shared" si="442"/>
        <v>81.142857142857139</v>
      </c>
      <c r="I1172" s="192">
        <f>G1172</f>
        <v>5680000</v>
      </c>
      <c r="J1172" s="301">
        <f>I1172/D1172*100</f>
        <v>81.142857142857139</v>
      </c>
      <c r="K1172" s="331">
        <f t="shared" si="437"/>
        <v>0.83333333333333337</v>
      </c>
      <c r="L1172" s="311">
        <f t="shared" si="438"/>
        <v>81.142857142857139</v>
      </c>
      <c r="M1172" s="132"/>
      <c r="N1172" s="745">
        <v>3520000</v>
      </c>
      <c r="P1172" s="712">
        <f t="shared" si="439"/>
        <v>1320000</v>
      </c>
    </row>
    <row r="1173" spans="1:19">
      <c r="A1173" s="44"/>
      <c r="B1173" s="47">
        <v>18</v>
      </c>
      <c r="C1173" s="48" t="s">
        <v>43</v>
      </c>
      <c r="D1173" s="34">
        <v>15000000</v>
      </c>
      <c r="E1173" s="117">
        <v>0</v>
      </c>
      <c r="F1173" s="132">
        <v>0</v>
      </c>
      <c r="G1173" s="192">
        <v>12075000</v>
      </c>
      <c r="H1173" s="299">
        <f t="shared" si="442"/>
        <v>80.5</v>
      </c>
      <c r="I1173" s="192">
        <f>G1173</f>
        <v>12075000</v>
      </c>
      <c r="J1173" s="301">
        <f t="shared" ref="J1173:J1174" si="445">I1173/D1173*100</f>
        <v>80.5</v>
      </c>
      <c r="K1173" s="331">
        <f t="shared" si="437"/>
        <v>0.83333333333333337</v>
      </c>
      <c r="L1173" s="311">
        <f t="shared" si="438"/>
        <v>80.5</v>
      </c>
      <c r="M1173" s="132"/>
      <c r="N1173" s="745">
        <f>3030000+5450000</f>
        <v>8480000</v>
      </c>
      <c r="P1173" s="712">
        <f t="shared" si="439"/>
        <v>2925000</v>
      </c>
    </row>
    <row r="1174" spans="1:19" ht="15.75" thickBot="1">
      <c r="A1174" s="44"/>
      <c r="B1174" s="49">
        <v>19</v>
      </c>
      <c r="C1174" s="50" t="s">
        <v>44</v>
      </c>
      <c r="D1174" s="51">
        <v>51212000</v>
      </c>
      <c r="E1174" s="298"/>
      <c r="F1174" s="133">
        <v>0</v>
      </c>
      <c r="G1174" s="192">
        <f>37089000+4242000</f>
        <v>41331000</v>
      </c>
      <c r="H1174" s="300">
        <f t="shared" si="442"/>
        <v>80.705693977973908</v>
      </c>
      <c r="I1174" s="192">
        <f t="shared" ref="I1174" si="446">G1174</f>
        <v>41331000</v>
      </c>
      <c r="J1174" s="301">
        <f t="shared" si="445"/>
        <v>80.705693977973908</v>
      </c>
      <c r="K1174" s="331">
        <f>10/12</f>
        <v>0.83333333333333337</v>
      </c>
      <c r="L1174" s="311">
        <f t="shared" si="438"/>
        <v>80.705693977973908</v>
      </c>
      <c r="M1174" s="133"/>
      <c r="N1174" s="745">
        <f>14956000+953000+136000+171000</f>
        <v>16216000</v>
      </c>
      <c r="P1174" s="712">
        <f t="shared" si="439"/>
        <v>9881000</v>
      </c>
    </row>
    <row r="1175" spans="1:19" ht="15.75" thickBot="1">
      <c r="A1175" s="35"/>
      <c r="B1175" s="52"/>
      <c r="C1175" s="37" t="s">
        <v>45</v>
      </c>
      <c r="D1175" s="53">
        <f>SUM(D1160:D1174)</f>
        <v>170212000</v>
      </c>
      <c r="E1175" s="53">
        <f>SUM(E1160:E1174)</f>
        <v>0</v>
      </c>
      <c r="F1175" s="53">
        <f t="shared" ref="F1175" si="447">SUM(F1160:F1174)</f>
        <v>0</v>
      </c>
      <c r="G1175" s="53">
        <f>SUM(G1160:G1174)</f>
        <v>131187927</v>
      </c>
      <c r="H1175" s="214">
        <f>G1175/D1175*100</f>
        <v>77.073253942142742</v>
      </c>
      <c r="I1175" s="194">
        <f t="shared" ref="I1175" si="448">SUM(I1160:I1174)</f>
        <v>131187927</v>
      </c>
      <c r="J1175" s="214">
        <f>I1175/D1175*100</f>
        <v>77.073253942142742</v>
      </c>
      <c r="K1175" s="332">
        <f>10/12</f>
        <v>0.83333333333333337</v>
      </c>
      <c r="L1175" s="214">
        <f>J1175</f>
        <v>77.073253942142742</v>
      </c>
      <c r="M1175" s="746"/>
      <c r="N1175" s="747">
        <f>SUM(N1159:N1174)</f>
        <v>46363113</v>
      </c>
      <c r="P1175" s="713">
        <f>SUM(P1160:P1174)</f>
        <v>39024073</v>
      </c>
      <c r="Q1175" s="178">
        <f>D1175-G1175</f>
        <v>39024073</v>
      </c>
      <c r="R1175" s="544">
        <f>N1174+O1187+N1262</f>
        <v>77716000</v>
      </c>
      <c r="S1175" t="s">
        <v>558</v>
      </c>
    </row>
    <row r="1176" spans="1:19" ht="15.75" thickBot="1">
      <c r="A1176" s="54" t="s">
        <v>29</v>
      </c>
      <c r="B1176" s="55" t="s">
        <v>90</v>
      </c>
      <c r="C1176" s="56"/>
      <c r="D1176" s="57"/>
      <c r="E1176" s="119"/>
      <c r="F1176" s="131"/>
      <c r="G1176" s="152"/>
      <c r="H1176" s="152"/>
      <c r="I1176" s="119"/>
      <c r="J1176" s="152"/>
      <c r="K1176" s="152"/>
      <c r="L1176" s="152"/>
      <c r="M1176" s="131"/>
      <c r="N1176" s="747">
        <f>N1160+N1161+N1162+N1163+N1164+N1165+N1166+N1167+N1168+N1169+N1170+N1171+N1172+N1173</f>
        <v>30147113</v>
      </c>
      <c r="P1176" s="712"/>
      <c r="R1176" s="544">
        <f>N1176+N1189+N1204+N1211+N1224+N1227+N1231+N1237+N1185</f>
        <v>77596363</v>
      </c>
      <c r="S1176" t="s">
        <v>559</v>
      </c>
    </row>
    <row r="1177" spans="1:19">
      <c r="A1177" s="279"/>
      <c r="B1177" s="47" t="s">
        <v>53</v>
      </c>
      <c r="C1177" s="46" t="s">
        <v>216</v>
      </c>
      <c r="D1177" s="80">
        <v>40000000</v>
      </c>
      <c r="E1177" s="119"/>
      <c r="F1177" s="131"/>
      <c r="G1177" s="152">
        <v>40000000</v>
      </c>
      <c r="H1177" s="299">
        <f t="shared" ref="H1177:H1181" si="449">G1177/D1177*100</f>
        <v>100</v>
      </c>
      <c r="I1177" s="119">
        <f>G1177</f>
        <v>40000000</v>
      </c>
      <c r="J1177" s="301">
        <f t="shared" ref="J1177:J1181" si="450">I1177/D1177*100</f>
        <v>100</v>
      </c>
      <c r="K1177" s="331">
        <f>10/12</f>
        <v>0.83333333333333337</v>
      </c>
      <c r="L1177" s="311">
        <f t="shared" ref="L1177" si="451">J1177</f>
        <v>100</v>
      </c>
      <c r="M1177" s="131"/>
      <c r="N1177" s="745">
        <v>0</v>
      </c>
      <c r="P1177" s="712">
        <f t="shared" ref="P1177:P1184" si="452">D1177-G1177</f>
        <v>0</v>
      </c>
      <c r="R1177" s="544">
        <v>30000000</v>
      </c>
    </row>
    <row r="1178" spans="1:19">
      <c r="A1178" s="44"/>
      <c r="B1178" s="47" t="s">
        <v>46</v>
      </c>
      <c r="C1178" s="58" t="s">
        <v>110</v>
      </c>
      <c r="D1178" s="59">
        <v>20000000</v>
      </c>
      <c r="E1178" s="120">
        <v>0</v>
      </c>
      <c r="F1178" s="132">
        <v>0</v>
      </c>
      <c r="G1178" s="119">
        <v>14475000</v>
      </c>
      <c r="H1178" s="299">
        <f t="shared" si="449"/>
        <v>72.375</v>
      </c>
      <c r="I1178" s="119">
        <f>G1178</f>
        <v>14475000</v>
      </c>
      <c r="J1178" s="301">
        <f t="shared" si="450"/>
        <v>72.375</v>
      </c>
      <c r="K1178" s="331">
        <f t="shared" ref="K1178:K1183" si="453">10/12</f>
        <v>0.83333333333333337</v>
      </c>
      <c r="L1178" s="311">
        <f>J1178</f>
        <v>72.375</v>
      </c>
      <c r="M1178" s="132"/>
      <c r="N1178" s="745">
        <v>4525000</v>
      </c>
      <c r="P1178" s="712">
        <f t="shared" si="452"/>
        <v>5525000</v>
      </c>
      <c r="R1178" s="544">
        <f>R1176-R1177</f>
        <v>47596363</v>
      </c>
    </row>
    <row r="1179" spans="1:19">
      <c r="A1179" s="44"/>
      <c r="B1179" s="47">
        <v>21</v>
      </c>
      <c r="C1179" s="48" t="s">
        <v>47</v>
      </c>
      <c r="D1179" s="59">
        <v>30000000</v>
      </c>
      <c r="E1179" s="120">
        <v>0</v>
      </c>
      <c r="F1179" s="132">
        <v>0</v>
      </c>
      <c r="G1179" s="206">
        <v>30000000</v>
      </c>
      <c r="H1179" s="299">
        <f t="shared" si="449"/>
        <v>100</v>
      </c>
      <c r="I1179" s="119">
        <f t="shared" ref="I1179:I1180" si="454">G1179</f>
        <v>30000000</v>
      </c>
      <c r="J1179" s="301">
        <f t="shared" si="450"/>
        <v>100</v>
      </c>
      <c r="K1179" s="331">
        <f t="shared" si="453"/>
        <v>0.83333333333333337</v>
      </c>
      <c r="L1179" s="311">
        <f>J1179</f>
        <v>100</v>
      </c>
      <c r="M1179" s="132"/>
      <c r="N1179" s="745">
        <v>0</v>
      </c>
      <c r="P1179" s="712">
        <f t="shared" si="452"/>
        <v>0</v>
      </c>
    </row>
    <row r="1180" spans="1:19">
      <c r="A1180" s="44"/>
      <c r="B1180" s="47">
        <v>22</v>
      </c>
      <c r="C1180" s="48" t="s">
        <v>48</v>
      </c>
      <c r="D1180" s="60">
        <v>30000000</v>
      </c>
      <c r="E1180" s="120">
        <v>0</v>
      </c>
      <c r="F1180" s="132">
        <v>0</v>
      </c>
      <c r="G1180" s="206">
        <v>30000000</v>
      </c>
      <c r="H1180" s="299">
        <f t="shared" si="449"/>
        <v>100</v>
      </c>
      <c r="I1180" s="119">
        <f t="shared" si="454"/>
        <v>30000000</v>
      </c>
      <c r="J1180" s="301">
        <f t="shared" si="450"/>
        <v>100</v>
      </c>
      <c r="K1180" s="331">
        <f t="shared" si="453"/>
        <v>0.83333333333333337</v>
      </c>
      <c r="L1180" s="311">
        <f t="shared" ref="L1180" si="455">J1180</f>
        <v>100</v>
      </c>
      <c r="M1180" s="154"/>
      <c r="N1180" s="745">
        <v>3000000</v>
      </c>
      <c r="P1180" s="712">
        <f t="shared" si="452"/>
        <v>0</v>
      </c>
    </row>
    <row r="1181" spans="1:19">
      <c r="A1181" s="44"/>
      <c r="B1181" s="47">
        <v>24</v>
      </c>
      <c r="C1181" s="48" t="s">
        <v>49</v>
      </c>
      <c r="D1181" s="60">
        <v>35000000</v>
      </c>
      <c r="E1181" s="120">
        <v>0</v>
      </c>
      <c r="F1181" s="132">
        <v>0</v>
      </c>
      <c r="G1181" s="206">
        <f>6051250+1700000+2418000+4557000+2750000+2922500+4902000</f>
        <v>25300750</v>
      </c>
      <c r="H1181" s="299">
        <f t="shared" si="449"/>
        <v>72.287857142857149</v>
      </c>
      <c r="I1181" s="192">
        <f>G1181</f>
        <v>25300750</v>
      </c>
      <c r="J1181" s="301">
        <f t="shared" si="450"/>
        <v>72.287857142857149</v>
      </c>
      <c r="K1181" s="331">
        <f t="shared" si="453"/>
        <v>0.83333333333333337</v>
      </c>
      <c r="L1181" s="311">
        <f>J1181</f>
        <v>72.287857142857149</v>
      </c>
      <c r="M1181" s="132"/>
      <c r="N1181" s="745">
        <v>10699250</v>
      </c>
      <c r="P1181" s="712">
        <f t="shared" si="452"/>
        <v>9699250</v>
      </c>
    </row>
    <row r="1182" spans="1:19">
      <c r="A1182" s="44"/>
      <c r="B1182" s="47">
        <v>26</v>
      </c>
      <c r="C1182" s="48" t="s">
        <v>50</v>
      </c>
      <c r="D1182" s="60">
        <v>4000000</v>
      </c>
      <c r="E1182" s="120">
        <v>0</v>
      </c>
      <c r="F1182" s="132">
        <v>0</v>
      </c>
      <c r="G1182" s="206">
        <v>3500000</v>
      </c>
      <c r="H1182" s="299">
        <f>G1182/D1182*100</f>
        <v>87.5</v>
      </c>
      <c r="I1182" s="192">
        <f>G1182</f>
        <v>3500000</v>
      </c>
      <c r="J1182" s="301">
        <f>I1182/D1182*100</f>
        <v>87.5</v>
      </c>
      <c r="K1182" s="331">
        <f t="shared" si="453"/>
        <v>0.83333333333333337</v>
      </c>
      <c r="L1182" s="311">
        <f t="shared" ref="L1182:L1184" si="456">J1182</f>
        <v>87.5</v>
      </c>
      <c r="M1182" s="132"/>
      <c r="N1182" s="745">
        <v>500000</v>
      </c>
      <c r="P1182" s="712">
        <f t="shared" si="452"/>
        <v>500000</v>
      </c>
    </row>
    <row r="1183" spans="1:19">
      <c r="A1183" s="44"/>
      <c r="B1183" s="47">
        <v>28</v>
      </c>
      <c r="C1183" s="48" t="s">
        <v>51</v>
      </c>
      <c r="D1183" s="60">
        <v>12000000</v>
      </c>
      <c r="E1183" s="120">
        <v>0</v>
      </c>
      <c r="F1183" s="132">
        <v>0</v>
      </c>
      <c r="G1183" s="206">
        <f>300000+300000+2250000+1000000+400000+1250000+500000+750000+200000+950000+2250000</f>
        <v>10150000</v>
      </c>
      <c r="H1183" s="299">
        <f t="shared" ref="H1183" si="457">G1183/D1183*100</f>
        <v>84.583333333333329</v>
      </c>
      <c r="I1183" s="192">
        <f>G1183</f>
        <v>10150000</v>
      </c>
      <c r="J1183" s="301">
        <f>I1183/D1183*100</f>
        <v>84.583333333333329</v>
      </c>
      <c r="K1183" s="331">
        <f t="shared" si="453"/>
        <v>0.83333333333333337</v>
      </c>
      <c r="L1183" s="311">
        <f t="shared" si="456"/>
        <v>84.583333333333329</v>
      </c>
      <c r="M1183" s="132"/>
      <c r="N1183" s="745">
        <v>1850000</v>
      </c>
      <c r="P1183" s="712">
        <f t="shared" si="452"/>
        <v>1850000</v>
      </c>
    </row>
    <row r="1184" spans="1:19" ht="15.75" thickBot="1">
      <c r="A1184" s="44"/>
      <c r="B1184" s="61">
        <v>29</v>
      </c>
      <c r="C1184" s="50" t="s">
        <v>52</v>
      </c>
      <c r="D1184" s="62">
        <v>2000000</v>
      </c>
      <c r="E1184" s="121">
        <v>0</v>
      </c>
      <c r="F1184" s="133">
        <v>0</v>
      </c>
      <c r="G1184" s="197">
        <f>200000+100000+390000+350000+460000</f>
        <v>1500000</v>
      </c>
      <c r="H1184" s="312">
        <f>G1184/D1184*100</f>
        <v>75</v>
      </c>
      <c r="I1184" s="313">
        <f t="shared" ref="I1184" si="458">G1184</f>
        <v>1500000</v>
      </c>
      <c r="J1184" s="314">
        <f t="shared" ref="J1184" si="459">I1184/D1184*100</f>
        <v>75</v>
      </c>
      <c r="K1184" s="331">
        <f>10/12</f>
        <v>0.83333333333333337</v>
      </c>
      <c r="L1184" s="311">
        <f t="shared" si="456"/>
        <v>75</v>
      </c>
      <c r="M1184" s="133"/>
      <c r="N1184" s="745">
        <v>500000</v>
      </c>
      <c r="P1184" s="712">
        <f t="shared" si="452"/>
        <v>500000</v>
      </c>
    </row>
    <row r="1185" spans="1:16" ht="15.75" thickBot="1">
      <c r="A1185" s="63"/>
      <c r="B1185" s="64"/>
      <c r="C1185" s="65" t="s">
        <v>45</v>
      </c>
      <c r="D1185" s="66">
        <f>SUM(D1177:D1184)</f>
        <v>173000000</v>
      </c>
      <c r="E1185" s="122"/>
      <c r="F1185" s="66"/>
      <c r="G1185" s="285">
        <f>SUM(G1177:G1184)</f>
        <v>154925750</v>
      </c>
      <c r="H1185" s="323">
        <f>G1185/D1185*100</f>
        <v>89.552456647398841</v>
      </c>
      <c r="I1185" s="286">
        <f>SUM(I1177:I1184)</f>
        <v>154925750</v>
      </c>
      <c r="J1185" s="323">
        <f>I1185/D1185*100</f>
        <v>89.552456647398841</v>
      </c>
      <c r="K1185" s="333">
        <f>10/12</f>
        <v>0.83333333333333337</v>
      </c>
      <c r="L1185" s="302">
        <f>J1185</f>
        <v>89.552456647398841</v>
      </c>
      <c r="M1185" s="748"/>
      <c r="N1185" s="747">
        <f>SUM(N1177:N1184)</f>
        <v>21074250</v>
      </c>
      <c r="P1185" s="713">
        <f>SUM(P1177:P1184)</f>
        <v>18074250</v>
      </c>
    </row>
    <row r="1186" spans="1:16">
      <c r="A1186" s="67" t="s">
        <v>53</v>
      </c>
      <c r="B1186" s="68" t="s">
        <v>54</v>
      </c>
      <c r="C1186" s="69"/>
      <c r="D1186" s="70"/>
      <c r="E1186" s="123"/>
      <c r="F1186" s="134"/>
      <c r="G1186" s="164"/>
      <c r="H1186" s="148"/>
      <c r="I1186" s="164"/>
      <c r="J1186" s="152"/>
      <c r="K1186" s="152"/>
      <c r="L1186" s="156"/>
      <c r="M1186" s="134"/>
      <c r="P1186" s="712"/>
    </row>
    <row r="1187" spans="1:16" ht="15.75" thickBot="1">
      <c r="A1187" s="44"/>
      <c r="B1187" s="47" t="s">
        <v>26</v>
      </c>
      <c r="C1187" s="48" t="s">
        <v>55</v>
      </c>
      <c r="D1187" s="60">
        <v>25000000</v>
      </c>
      <c r="E1187" s="120">
        <v>0</v>
      </c>
      <c r="F1187" s="208">
        <v>0</v>
      </c>
      <c r="G1187" s="197" t="s">
        <v>132</v>
      </c>
      <c r="H1187" s="59" t="s">
        <v>132</v>
      </c>
      <c r="I1187" s="197" t="s">
        <v>132</v>
      </c>
      <c r="J1187" s="59" t="s">
        <v>132</v>
      </c>
      <c r="K1187" s="59">
        <v>0</v>
      </c>
      <c r="L1187" s="59">
        <v>0</v>
      </c>
      <c r="M1187" s="132"/>
      <c r="N1187" s="161">
        <v>15000000</v>
      </c>
      <c r="O1187" s="544">
        <v>10000000</v>
      </c>
      <c r="P1187" s="712"/>
    </row>
    <row r="1188" spans="1:16" ht="15.75" thickBot="1">
      <c r="A1188" s="63"/>
      <c r="B1188" s="71"/>
      <c r="C1188" s="65" t="s">
        <v>45</v>
      </c>
      <c r="D1188" s="66">
        <f>SUM(D1187:D1187)</f>
        <v>25000000</v>
      </c>
      <c r="E1188" s="122">
        <f>SUM(E1187:E1187)</f>
        <v>0</v>
      </c>
      <c r="F1188" s="202">
        <f>SUM(F1187:F1187)</f>
        <v>0</v>
      </c>
      <c r="G1188" s="122" t="s">
        <v>132</v>
      </c>
      <c r="H1188" s="66" t="s">
        <v>132</v>
      </c>
      <c r="I1188" s="122" t="s">
        <v>132</v>
      </c>
      <c r="J1188" s="155" t="s">
        <v>132</v>
      </c>
      <c r="K1188" s="66">
        <f>SUM(K1187:K1187)</f>
        <v>0</v>
      </c>
      <c r="L1188" s="66">
        <f>SUM(L1187:L1187)</f>
        <v>0</v>
      </c>
      <c r="M1188" s="748"/>
      <c r="N1188" s="749">
        <f>SUM(N1187)</f>
        <v>15000000</v>
      </c>
      <c r="P1188" s="712"/>
    </row>
    <row r="1189" spans="1:16">
      <c r="A1189" s="44">
        <v>15</v>
      </c>
      <c r="B1189" s="72" t="s">
        <v>61</v>
      </c>
      <c r="C1189" s="73"/>
      <c r="D1189" s="57"/>
      <c r="E1189" s="119"/>
      <c r="F1189" s="209"/>
      <c r="G1189" s="119" t="s">
        <v>132</v>
      </c>
      <c r="H1189" s="152" t="s">
        <v>132</v>
      </c>
      <c r="I1189" s="119" t="s">
        <v>132</v>
      </c>
      <c r="J1189" s="152" t="s">
        <v>132</v>
      </c>
      <c r="K1189" s="152"/>
      <c r="L1189" s="152"/>
      <c r="M1189" s="131"/>
      <c r="N1189" s="161">
        <v>5000000</v>
      </c>
      <c r="P1189" s="712"/>
    </row>
    <row r="1190" spans="1:16">
      <c r="A1190" s="44"/>
      <c r="B1190" s="47">
        <v>18</v>
      </c>
      <c r="C1190" s="48" t="s">
        <v>62</v>
      </c>
      <c r="D1190" s="60">
        <v>5000000</v>
      </c>
      <c r="E1190" s="120">
        <v>0</v>
      </c>
      <c r="F1190" s="208">
        <v>0</v>
      </c>
      <c r="G1190" s="120">
        <v>5000000</v>
      </c>
      <c r="H1190" s="299">
        <f t="shared" ref="H1190:H1191" si="460">G1190/D1190*100</f>
        <v>100</v>
      </c>
      <c r="I1190" s="120">
        <f>G1190</f>
        <v>5000000</v>
      </c>
      <c r="J1190" s="301">
        <f>I1190/D1190*100</f>
        <v>100</v>
      </c>
      <c r="K1190" s="331">
        <f>10/12</f>
        <v>0.83333333333333337</v>
      </c>
      <c r="L1190" s="301">
        <f>J1190</f>
        <v>100</v>
      </c>
      <c r="M1190" s="132"/>
      <c r="N1190" s="161">
        <v>0</v>
      </c>
      <c r="P1190" s="712"/>
    </row>
    <row r="1191" spans="1:16" ht="25.5">
      <c r="A1191" s="44"/>
      <c r="B1191" s="49">
        <v>63</v>
      </c>
      <c r="C1191" s="244" t="s">
        <v>63</v>
      </c>
      <c r="D1191" s="62">
        <v>5000000</v>
      </c>
      <c r="E1191" s="121">
        <v>0</v>
      </c>
      <c r="F1191" s="210">
        <v>0</v>
      </c>
      <c r="G1191" s="121">
        <v>5000000</v>
      </c>
      <c r="H1191" s="300">
        <f t="shared" si="460"/>
        <v>100</v>
      </c>
      <c r="I1191" s="120">
        <f>G1191</f>
        <v>5000000</v>
      </c>
      <c r="J1191" s="314">
        <f>I1191/D1191*100</f>
        <v>100</v>
      </c>
      <c r="K1191" s="331">
        <f>10/12</f>
        <v>0.83333333333333337</v>
      </c>
      <c r="L1191" s="528">
        <f>J1191</f>
        <v>100</v>
      </c>
      <c r="M1191" s="133"/>
      <c r="N1191" s="161">
        <v>0</v>
      </c>
      <c r="P1191" s="712"/>
    </row>
    <row r="1192" spans="1:16">
      <c r="A1192" s="63"/>
      <c r="B1192" s="64"/>
      <c r="C1192" s="65" t="s">
        <v>45</v>
      </c>
      <c r="D1192" s="66">
        <f>SUM(D1190:D1191)</f>
        <v>10000000</v>
      </c>
      <c r="E1192" s="122">
        <f t="shared" ref="E1192" si="461">SUM(E1190:E1191)</f>
        <v>0</v>
      </c>
      <c r="F1192" s="202">
        <f>SUM(F1190:F1191)</f>
        <v>0</v>
      </c>
      <c r="G1192" s="195">
        <f>SUM(G1190:G1191)</f>
        <v>10000000</v>
      </c>
      <c r="H1192" s="302">
        <f>G1192/D1192*100</f>
        <v>100</v>
      </c>
      <c r="I1192" s="195">
        <f>SUM(I1190:I1191)</f>
        <v>10000000</v>
      </c>
      <c r="J1192" s="323">
        <f>I1192/D1192*100</f>
        <v>100</v>
      </c>
      <c r="K1192" s="356">
        <f>K1191</f>
        <v>0.83333333333333337</v>
      </c>
      <c r="L1192" s="302">
        <f>J1192</f>
        <v>100</v>
      </c>
      <c r="M1192" s="66"/>
      <c r="P1192" s="712"/>
    </row>
    <row r="1193" spans="1:16">
      <c r="A1193" s="44">
        <v>30</v>
      </c>
      <c r="B1193" s="77" t="s">
        <v>64</v>
      </c>
      <c r="C1193" s="78"/>
      <c r="D1193" s="57"/>
      <c r="E1193" s="119"/>
      <c r="F1193" s="209"/>
      <c r="G1193" s="119"/>
      <c r="H1193" s="152"/>
      <c r="I1193" s="119"/>
      <c r="J1193" s="152"/>
      <c r="K1193" s="152"/>
      <c r="L1193" s="311"/>
      <c r="M1193" s="131"/>
      <c r="P1193" s="712"/>
    </row>
    <row r="1194" spans="1:16">
      <c r="A1194" s="44"/>
      <c r="B1194" s="45">
        <v>2</v>
      </c>
      <c r="C1194" s="79" t="s">
        <v>102</v>
      </c>
      <c r="D1194" s="80">
        <v>200000000</v>
      </c>
      <c r="E1194" s="124">
        <v>0</v>
      </c>
      <c r="F1194" s="209">
        <v>0</v>
      </c>
      <c r="G1194" s="124">
        <v>199258000</v>
      </c>
      <c r="H1194" s="312">
        <f t="shared" ref="H1194" si="462">G1194/D1194*100</f>
        <v>99.629000000000005</v>
      </c>
      <c r="I1194" s="120">
        <f>G1194</f>
        <v>199258000</v>
      </c>
      <c r="J1194" s="314">
        <f>I1194/D1194*100</f>
        <v>99.629000000000005</v>
      </c>
      <c r="K1194" s="331">
        <f>10/12</f>
        <v>0.83333333333333337</v>
      </c>
      <c r="L1194" s="311">
        <f>J1194</f>
        <v>99.629000000000005</v>
      </c>
      <c r="M1194" s="131"/>
      <c r="N1194" s="161">
        <v>0</v>
      </c>
      <c r="P1194" s="712">
        <f t="shared" ref="P1194" si="463">D1194-G1194</f>
        <v>742000</v>
      </c>
    </row>
    <row r="1195" spans="1:16">
      <c r="A1195" s="63"/>
      <c r="B1195" s="64"/>
      <c r="C1195" s="65" t="s">
        <v>45</v>
      </c>
      <c r="D1195" s="66">
        <f>SUM(D1193:D1194)</f>
        <v>200000000</v>
      </c>
      <c r="E1195" s="66">
        <f>SUM(E1193:E1194)</f>
        <v>0</v>
      </c>
      <c r="F1195" s="202">
        <f>SUM(F1193:F1194)</f>
        <v>0</v>
      </c>
      <c r="G1195" s="122">
        <f>SUM(G1194)</f>
        <v>199258000</v>
      </c>
      <c r="H1195" s="323">
        <f>G1195/D1195*100</f>
        <v>99.629000000000005</v>
      </c>
      <c r="I1195" s="122">
        <f>SUM(I1194)</f>
        <v>199258000</v>
      </c>
      <c r="J1195" s="323">
        <f>I1195/D1195*100</f>
        <v>99.629000000000005</v>
      </c>
      <c r="K1195" s="356">
        <f>K1194</f>
        <v>0.83333333333333337</v>
      </c>
      <c r="L1195" s="302">
        <f>J1195</f>
        <v>99.629000000000005</v>
      </c>
      <c r="M1195" s="66"/>
      <c r="P1195" s="713">
        <f>SUM(P1194)</f>
        <v>742000</v>
      </c>
    </row>
    <row r="1196" spans="1:16">
      <c r="A1196" s="44">
        <v>21</v>
      </c>
      <c r="B1196" s="81" t="s">
        <v>65</v>
      </c>
      <c r="C1196" s="82"/>
      <c r="D1196" s="57"/>
      <c r="E1196" s="119"/>
      <c r="F1196" s="209"/>
      <c r="G1196" s="119"/>
      <c r="H1196" s="152"/>
      <c r="I1196" s="119"/>
      <c r="J1196" s="152"/>
      <c r="K1196" s="152"/>
      <c r="L1196" s="311"/>
      <c r="M1196" s="131"/>
      <c r="P1196" s="712"/>
    </row>
    <row r="1197" spans="1:16">
      <c r="A1197" s="44"/>
      <c r="B1197" s="47" t="s">
        <v>46</v>
      </c>
      <c r="C1197" s="48" t="s">
        <v>66</v>
      </c>
      <c r="D1197" s="60">
        <v>20000000</v>
      </c>
      <c r="E1197" s="125">
        <v>0</v>
      </c>
      <c r="F1197" s="211">
        <v>0</v>
      </c>
      <c r="G1197" s="199">
        <v>20000000</v>
      </c>
      <c r="H1197" s="312">
        <f>G1197/D1197*100</f>
        <v>100</v>
      </c>
      <c r="I1197" s="197">
        <f>G1197</f>
        <v>20000000</v>
      </c>
      <c r="J1197" s="301">
        <f>H1197</f>
        <v>100</v>
      </c>
      <c r="K1197" s="331">
        <f>10/12</f>
        <v>0.83333333333333337</v>
      </c>
      <c r="L1197" s="301">
        <f>J1197</f>
        <v>100</v>
      </c>
      <c r="M1197" s="132"/>
      <c r="P1197" s="712"/>
    </row>
    <row r="1198" spans="1:16">
      <c r="A1198" s="63"/>
      <c r="B1198" s="83"/>
      <c r="C1198" s="65" t="s">
        <v>45</v>
      </c>
      <c r="D1198" s="66">
        <f>SUM(D1197:D1197)</f>
        <v>20000000</v>
      </c>
      <c r="E1198" s="66">
        <f t="shared" ref="E1198:F1198" si="464">SUM(E1195:E1197)</f>
        <v>0</v>
      </c>
      <c r="F1198" s="202">
        <f t="shared" si="464"/>
        <v>0</v>
      </c>
      <c r="G1198" s="122">
        <f>SUM(G1197)</f>
        <v>20000000</v>
      </c>
      <c r="H1198" s="323">
        <f>G1198/D1198*100</f>
        <v>100</v>
      </c>
      <c r="I1198" s="122">
        <f>SUM(I1197)</f>
        <v>20000000</v>
      </c>
      <c r="J1198" s="302">
        <f>H1198</f>
        <v>100</v>
      </c>
      <c r="K1198" s="356">
        <f>K1197</f>
        <v>0.83333333333333337</v>
      </c>
      <c r="L1198" s="302">
        <f>SUM(L1197)</f>
        <v>100</v>
      </c>
      <c r="M1198" s="66"/>
      <c r="P1198" s="712"/>
    </row>
    <row r="1199" spans="1:16">
      <c r="A1199" s="84">
        <v>18</v>
      </c>
      <c r="B1199" s="826" t="s">
        <v>96</v>
      </c>
      <c r="C1199" s="827"/>
      <c r="D1199" s="57"/>
      <c r="E1199" s="119"/>
      <c r="F1199" s="209"/>
      <c r="G1199" s="119"/>
      <c r="H1199" s="152"/>
      <c r="I1199" s="119"/>
      <c r="J1199" s="152"/>
      <c r="K1199" s="152"/>
      <c r="L1199" s="152"/>
      <c r="M1199" s="131"/>
      <c r="P1199" s="712"/>
    </row>
    <row r="1200" spans="1:16">
      <c r="A1200" s="84"/>
      <c r="B1200" s="830" t="s">
        <v>95</v>
      </c>
      <c r="C1200" s="831"/>
      <c r="D1200" s="57"/>
      <c r="E1200" s="124"/>
      <c r="F1200" s="209"/>
      <c r="G1200" s="119"/>
      <c r="H1200" s="152"/>
      <c r="I1200" s="119"/>
      <c r="J1200" s="152"/>
      <c r="K1200" s="152"/>
      <c r="L1200" s="152"/>
      <c r="M1200" s="131"/>
      <c r="P1200" s="712"/>
    </row>
    <row r="1201" spans="1:16">
      <c r="A1201" s="44"/>
      <c r="B1201" s="47" t="s">
        <v>26</v>
      </c>
      <c r="C1201" s="48" t="s">
        <v>67</v>
      </c>
      <c r="D1201" s="60">
        <v>20000000</v>
      </c>
      <c r="E1201" s="125">
        <v>0</v>
      </c>
      <c r="F1201" s="211">
        <v>0</v>
      </c>
      <c r="G1201" s="199">
        <v>20000000</v>
      </c>
      <c r="H1201" s="299">
        <f>G1201/D1201*100</f>
        <v>100</v>
      </c>
      <c r="I1201" s="119">
        <f t="shared" ref="I1201" si="465">G1201</f>
        <v>20000000</v>
      </c>
      <c r="J1201" s="301">
        <f>H1201</f>
        <v>100</v>
      </c>
      <c r="K1201" s="331">
        <f>10/12</f>
        <v>0.83333333333333337</v>
      </c>
      <c r="L1201" s="301">
        <f>J1201</f>
        <v>100</v>
      </c>
      <c r="M1201" s="132"/>
      <c r="N1201" s="161">
        <v>5000000</v>
      </c>
      <c r="P1201" s="712"/>
    </row>
    <row r="1202" spans="1:16">
      <c r="A1202" s="44"/>
      <c r="B1202" s="47" t="s">
        <v>29</v>
      </c>
      <c r="C1202" s="204" t="s">
        <v>220</v>
      </c>
      <c r="D1202" s="179">
        <v>7000000</v>
      </c>
      <c r="E1202" s="180">
        <v>0</v>
      </c>
      <c r="F1202" s="181">
        <v>0</v>
      </c>
      <c r="G1202" s="207">
        <v>0</v>
      </c>
      <c r="H1202" s="148" t="s">
        <v>132</v>
      </c>
      <c r="I1202" s="119">
        <v>0</v>
      </c>
      <c r="J1202" s="148" t="s">
        <v>132</v>
      </c>
      <c r="K1202" s="59">
        <v>0</v>
      </c>
      <c r="L1202" s="741">
        <v>0</v>
      </c>
      <c r="M1202" s="165"/>
      <c r="P1202" s="712"/>
    </row>
    <row r="1203" spans="1:16" ht="15.75" thickBot="1">
      <c r="A1203" s="44"/>
      <c r="B1203" s="47"/>
      <c r="C1203" s="48" t="s">
        <v>117</v>
      </c>
      <c r="D1203" s="60"/>
      <c r="E1203" s="125"/>
      <c r="F1203" s="135"/>
      <c r="G1203" s="199"/>
      <c r="H1203" s="157"/>
      <c r="I1203" s="197"/>
      <c r="J1203" s="59"/>
      <c r="K1203" s="59"/>
      <c r="L1203" s="301"/>
      <c r="M1203" s="132"/>
      <c r="P1203" s="712"/>
    </row>
    <row r="1204" spans="1:16" ht="15.75" thickBot="1">
      <c r="A1204" s="63"/>
      <c r="B1204" s="71"/>
      <c r="C1204" s="65" t="s">
        <v>45</v>
      </c>
      <c r="D1204" s="66">
        <f>SUM(D1201:D1203)</f>
        <v>27000000</v>
      </c>
      <c r="E1204" s="66">
        <f t="shared" ref="E1204" si="466">SUM(E1201:E1201)</f>
        <v>0</v>
      </c>
      <c r="F1204" s="66">
        <f>SUM(F1201:F1201)</f>
        <v>0</v>
      </c>
      <c r="G1204" s="122">
        <f>SUM(G1201:G1203)</f>
        <v>20000000</v>
      </c>
      <c r="H1204" s="323">
        <f>G1204/D1204*100</f>
        <v>74.074074074074076</v>
      </c>
      <c r="I1204" s="122">
        <f>SUM(I1201:I1203)</f>
        <v>20000000</v>
      </c>
      <c r="J1204" s="302">
        <f>H1204</f>
        <v>74.074074074074076</v>
      </c>
      <c r="K1204" s="331">
        <f>10/12</f>
        <v>0.83333333333333337</v>
      </c>
      <c r="L1204" s="302">
        <f t="shared" ref="L1204" si="467">SUM(L1201:L1201)</f>
        <v>100</v>
      </c>
      <c r="M1204" s="748"/>
      <c r="N1204" s="749">
        <f>SUM(N1201:N1203)</f>
        <v>5000000</v>
      </c>
      <c r="P1204" s="712"/>
    </row>
    <row r="1205" spans="1:16">
      <c r="A1205" s="84">
        <v>17</v>
      </c>
      <c r="B1205" s="826" t="s">
        <v>130</v>
      </c>
      <c r="C1205" s="827"/>
      <c r="D1205" s="57"/>
      <c r="E1205" s="119"/>
      <c r="F1205" s="131"/>
      <c r="G1205" s="119"/>
      <c r="H1205" s="152"/>
      <c r="I1205" s="119"/>
      <c r="J1205" s="152"/>
      <c r="K1205" s="152"/>
      <c r="L1205" s="152"/>
      <c r="M1205" s="131"/>
      <c r="P1205" s="712"/>
    </row>
    <row r="1206" spans="1:16">
      <c r="A1206" s="44"/>
      <c r="B1206" s="47" t="s">
        <v>53</v>
      </c>
      <c r="C1206" s="48" t="s">
        <v>131</v>
      </c>
      <c r="D1206" s="60">
        <v>24000000</v>
      </c>
      <c r="E1206" s="125">
        <v>0</v>
      </c>
      <c r="F1206" s="135">
        <v>0</v>
      </c>
      <c r="G1206" s="197">
        <v>19000000</v>
      </c>
      <c r="H1206" s="312">
        <f>G1206/D1206*100</f>
        <v>79.166666666666657</v>
      </c>
      <c r="I1206" s="197">
        <f>G1206</f>
        <v>19000000</v>
      </c>
      <c r="J1206" s="301">
        <f>H1206</f>
        <v>79.166666666666657</v>
      </c>
      <c r="K1206" s="331">
        <f>10/12</f>
        <v>0.83333333333333337</v>
      </c>
      <c r="L1206" s="301">
        <f>J1206</f>
        <v>79.166666666666657</v>
      </c>
      <c r="M1206" s="132"/>
      <c r="N1206" s="161">
        <v>0</v>
      </c>
      <c r="P1206" s="712"/>
    </row>
    <row r="1207" spans="1:16">
      <c r="A1207" s="63"/>
      <c r="B1207" s="64"/>
      <c r="C1207" s="65" t="s">
        <v>45</v>
      </c>
      <c r="D1207" s="66">
        <f>SUM(D1206:D1206)</f>
        <v>24000000</v>
      </c>
      <c r="E1207" s="66">
        <f t="shared" ref="E1207:F1207" si="468">SUM(E1205:E1206)</f>
        <v>0</v>
      </c>
      <c r="F1207" s="66">
        <f t="shared" si="468"/>
        <v>0</v>
      </c>
      <c r="G1207" s="122">
        <f>SUM(G1206)</f>
        <v>19000000</v>
      </c>
      <c r="H1207" s="323">
        <f>G1207/D1207*100</f>
        <v>79.166666666666657</v>
      </c>
      <c r="I1207" s="122">
        <f>SUM(I1206)</f>
        <v>19000000</v>
      </c>
      <c r="J1207" s="302">
        <f>H1207</f>
        <v>79.166666666666657</v>
      </c>
      <c r="K1207" s="356">
        <f>K1206</f>
        <v>0.83333333333333337</v>
      </c>
      <c r="L1207" s="302">
        <f t="shared" ref="L1207" si="469">SUM(L1205:L1206)</f>
        <v>79.166666666666657</v>
      </c>
      <c r="M1207" s="66"/>
      <c r="P1207" s="712"/>
    </row>
    <row r="1208" spans="1:16">
      <c r="A1208" s="44">
        <v>15</v>
      </c>
      <c r="B1208" s="701" t="s">
        <v>68</v>
      </c>
      <c r="C1208" s="86"/>
      <c r="D1208" s="57"/>
      <c r="E1208" s="119"/>
      <c r="F1208" s="131"/>
      <c r="G1208" s="119"/>
      <c r="H1208" s="152"/>
      <c r="I1208" s="119"/>
      <c r="J1208" s="152"/>
      <c r="K1208" s="152"/>
      <c r="L1208" s="152"/>
      <c r="M1208" s="131"/>
      <c r="P1208" s="712"/>
    </row>
    <row r="1209" spans="1:16" ht="26.25">
      <c r="A1209" s="44"/>
      <c r="B1209" s="49" t="s">
        <v>80</v>
      </c>
      <c r="C1209" s="50" t="s">
        <v>118</v>
      </c>
      <c r="D1209" s="62">
        <v>10000000</v>
      </c>
      <c r="E1209" s="125">
        <v>0</v>
      </c>
      <c r="F1209" s="135">
        <v>0</v>
      </c>
      <c r="G1209" s="119" t="s">
        <v>132</v>
      </c>
      <c r="H1209" s="59" t="s">
        <v>132</v>
      </c>
      <c r="I1209" s="119" t="s">
        <v>132</v>
      </c>
      <c r="J1209" s="59" t="s">
        <v>132</v>
      </c>
      <c r="K1209" s="339"/>
      <c r="L1209" s="59">
        <v>0</v>
      </c>
      <c r="M1209" s="132"/>
      <c r="N1209" s="161">
        <v>7500000</v>
      </c>
      <c r="P1209" s="712"/>
    </row>
    <row r="1210" spans="1:16" ht="15.75" thickBot="1">
      <c r="A1210" s="44"/>
      <c r="B1210" s="49" t="s">
        <v>69</v>
      </c>
      <c r="C1210" s="50" t="s">
        <v>70</v>
      </c>
      <c r="D1210" s="62">
        <v>60000000</v>
      </c>
      <c r="E1210" s="125">
        <v>0</v>
      </c>
      <c r="F1210" s="135">
        <v>0</v>
      </c>
      <c r="G1210" s="197">
        <v>60000000</v>
      </c>
      <c r="H1210" s="312">
        <f>G1210/D1210*100</f>
        <v>100</v>
      </c>
      <c r="I1210" s="197">
        <f>G1210</f>
        <v>60000000</v>
      </c>
      <c r="J1210" s="301">
        <f>H1210</f>
        <v>100</v>
      </c>
      <c r="K1210" s="331">
        <f>10/12</f>
        <v>0.83333333333333337</v>
      </c>
      <c r="L1210" s="301">
        <f>J1210</f>
        <v>100</v>
      </c>
      <c r="M1210" s="132"/>
      <c r="P1210" s="712"/>
    </row>
    <row r="1211" spans="1:16" ht="15.75" thickBot="1">
      <c r="A1211" s="63"/>
      <c r="B1211" s="64"/>
      <c r="C1211" s="65" t="s">
        <v>45</v>
      </c>
      <c r="D1211" s="66">
        <f>SUM(D1209:D1210)</f>
        <v>70000000</v>
      </c>
      <c r="E1211" s="66">
        <f>SUM(E1207:E1210)</f>
        <v>0</v>
      </c>
      <c r="F1211" s="66">
        <f>SUM(F1207:F1210)</f>
        <v>0</v>
      </c>
      <c r="G1211" s="122">
        <f>SUM(G1210)</f>
        <v>60000000</v>
      </c>
      <c r="H1211" s="323">
        <f>G1211/D1211*100</f>
        <v>85.714285714285708</v>
      </c>
      <c r="I1211" s="122">
        <f>SUM(I1210)</f>
        <v>60000000</v>
      </c>
      <c r="J1211" s="302">
        <f>H1211</f>
        <v>85.714285714285708</v>
      </c>
      <c r="K1211" s="356">
        <f>K1210</f>
        <v>0.83333333333333337</v>
      </c>
      <c r="L1211" s="302">
        <f>SUM(L1207:L1210)</f>
        <v>179.16666666666666</v>
      </c>
      <c r="M1211" s="748"/>
      <c r="N1211" s="749">
        <f>SUM(N1209:N1210)</f>
        <v>7500000</v>
      </c>
      <c r="P1211" s="712"/>
    </row>
    <row r="1212" spans="1:16">
      <c r="A1212" s="44">
        <v>16</v>
      </c>
      <c r="B1212" s="81" t="s">
        <v>71</v>
      </c>
      <c r="C1212" s="82"/>
      <c r="D1212" s="57"/>
      <c r="E1212" s="119"/>
      <c r="F1212" s="131"/>
      <c r="G1212" s="119"/>
      <c r="H1212" s="152"/>
      <c r="I1212" s="119"/>
      <c r="J1212" s="152"/>
      <c r="K1212" s="152"/>
      <c r="L1212" s="152"/>
      <c r="M1212" s="131"/>
      <c r="P1212" s="712"/>
    </row>
    <row r="1213" spans="1:16">
      <c r="A1213" s="44"/>
      <c r="B1213" s="47" t="s">
        <v>72</v>
      </c>
      <c r="C1213" s="48" t="s">
        <v>73</v>
      </c>
      <c r="D1213" s="60">
        <v>5000000</v>
      </c>
      <c r="E1213" s="120">
        <v>0</v>
      </c>
      <c r="F1213" s="132">
        <v>0</v>
      </c>
      <c r="G1213" s="120">
        <v>5000000</v>
      </c>
      <c r="H1213" s="312">
        <f>G1213/D1213*100</f>
        <v>100</v>
      </c>
      <c r="I1213" s="313">
        <f t="shared" ref="I1213:I1214" si="470">G1213</f>
        <v>5000000</v>
      </c>
      <c r="J1213" s="314">
        <f t="shared" ref="J1213:J1214" si="471">I1213/D1213*100</f>
        <v>100</v>
      </c>
      <c r="K1213" s="331">
        <f>10/12</f>
        <v>0.83333333333333337</v>
      </c>
      <c r="L1213" s="311">
        <f>J1213</f>
        <v>100</v>
      </c>
      <c r="M1213" s="132"/>
      <c r="P1213" s="712"/>
    </row>
    <row r="1214" spans="1:16">
      <c r="A1214" s="63"/>
      <c r="B1214" s="83"/>
      <c r="C1214" s="65" t="s">
        <v>45</v>
      </c>
      <c r="D1214" s="66">
        <f>SUM(D1213:D1213)</f>
        <v>5000000</v>
      </c>
      <c r="E1214" s="122">
        <f>SUM(E1213:E1213)</f>
        <v>0</v>
      </c>
      <c r="F1214" s="66">
        <f>SUM(F1213:F1213)</f>
        <v>0</v>
      </c>
      <c r="G1214" s="195">
        <f>G1213</f>
        <v>5000000</v>
      </c>
      <c r="H1214" s="534">
        <f>G1214/D1214*100</f>
        <v>100</v>
      </c>
      <c r="I1214" s="530">
        <f t="shared" si="470"/>
        <v>5000000</v>
      </c>
      <c r="J1214" s="531">
        <f t="shared" si="471"/>
        <v>100</v>
      </c>
      <c r="K1214" s="333">
        <f>SUM(K1213)</f>
        <v>0.83333333333333337</v>
      </c>
      <c r="L1214" s="302">
        <f>SUM(L1213)</f>
        <v>100</v>
      </c>
      <c r="M1214" s="66"/>
      <c r="P1214" s="712"/>
    </row>
    <row r="1215" spans="1:16">
      <c r="A1215" s="87" t="s">
        <v>69</v>
      </c>
      <c r="B1215" s="826" t="s">
        <v>89</v>
      </c>
      <c r="C1215" s="827"/>
      <c r="D1215" s="70"/>
      <c r="E1215" s="123"/>
      <c r="F1215" s="134"/>
      <c r="G1215" s="123"/>
      <c r="H1215" s="156"/>
      <c r="I1215" s="123"/>
      <c r="J1215" s="156"/>
      <c r="K1215" s="156"/>
      <c r="L1215" s="156"/>
      <c r="M1215" s="134"/>
      <c r="P1215" s="712"/>
    </row>
    <row r="1216" spans="1:16">
      <c r="A1216" s="88"/>
      <c r="B1216" s="830" t="s">
        <v>88</v>
      </c>
      <c r="C1216" s="831"/>
      <c r="D1216" s="57"/>
      <c r="E1216" s="119"/>
      <c r="F1216" s="131"/>
      <c r="G1216" s="119"/>
      <c r="H1216" s="152"/>
      <c r="I1216" s="119"/>
      <c r="J1216" s="152"/>
      <c r="K1216" s="152"/>
      <c r="L1216" s="152"/>
      <c r="M1216" s="131"/>
      <c r="P1216" s="712"/>
    </row>
    <row r="1217" spans="1:16">
      <c r="A1217" s="89"/>
      <c r="B1217" s="61" t="s">
        <v>26</v>
      </c>
      <c r="C1217" s="90" t="s">
        <v>74</v>
      </c>
      <c r="D1217" s="91">
        <v>15000000</v>
      </c>
      <c r="E1217" s="126">
        <v>0</v>
      </c>
      <c r="F1217" s="136">
        <v>0</v>
      </c>
      <c r="G1217" s="126">
        <v>15000000</v>
      </c>
      <c r="H1217" s="312">
        <f>G1217/D1217*100</f>
        <v>100</v>
      </c>
      <c r="I1217" s="313">
        <f>G1217</f>
        <v>15000000</v>
      </c>
      <c r="J1217" s="314">
        <f t="shared" ref="J1217:J1218" si="472">I1217/D1217*100</f>
        <v>100</v>
      </c>
      <c r="K1217" s="331">
        <f>10/12</f>
        <v>0.83333333333333337</v>
      </c>
      <c r="L1217" s="311">
        <f>J1217</f>
        <v>100</v>
      </c>
      <c r="M1217" s="136"/>
      <c r="P1217" s="712"/>
    </row>
    <row r="1218" spans="1:16">
      <c r="A1218" s="63"/>
      <c r="B1218" s="83"/>
      <c r="C1218" s="65" t="s">
        <v>45</v>
      </c>
      <c r="D1218" s="66">
        <f>SUM(D1217:D1217)</f>
        <v>15000000</v>
      </c>
      <c r="E1218" s="122">
        <f>SUM(E1217:E1217)</f>
        <v>0</v>
      </c>
      <c r="F1218" s="66">
        <f>SUM(F1217:F1217)</f>
        <v>0</v>
      </c>
      <c r="G1218" s="532">
        <f>SUM(G1217)</f>
        <v>15000000</v>
      </c>
      <c r="H1218" s="323">
        <f>G1218/D1218*100</f>
        <v>100</v>
      </c>
      <c r="I1218" s="533">
        <f t="shared" ref="I1218" si="473">G1218</f>
        <v>15000000</v>
      </c>
      <c r="J1218" s="340">
        <f t="shared" si="472"/>
        <v>100</v>
      </c>
      <c r="K1218" s="333">
        <f>SUM(K1217)</f>
        <v>0.83333333333333337</v>
      </c>
      <c r="L1218" s="302">
        <f>SUM(L1217)</f>
        <v>100</v>
      </c>
      <c r="M1218" s="66"/>
      <c r="P1218" s="712"/>
    </row>
    <row r="1219" spans="1:16">
      <c r="A1219" s="88"/>
      <c r="B1219" s="826" t="s">
        <v>94</v>
      </c>
      <c r="C1219" s="827"/>
      <c r="D1219" s="57"/>
      <c r="E1219" s="119"/>
      <c r="F1219" s="131"/>
      <c r="G1219" s="119"/>
      <c r="H1219" s="152"/>
      <c r="I1219" s="119"/>
      <c r="J1219" s="152"/>
      <c r="K1219" s="152"/>
      <c r="L1219" s="152"/>
      <c r="M1219" s="131"/>
      <c r="P1219" s="712"/>
    </row>
    <row r="1220" spans="1:16">
      <c r="A1220" s="84"/>
      <c r="B1220" s="92" t="s">
        <v>26</v>
      </c>
      <c r="C1220" s="48" t="s">
        <v>134</v>
      </c>
      <c r="D1220" s="60">
        <v>4000000</v>
      </c>
      <c r="E1220" s="125">
        <v>0</v>
      </c>
      <c r="F1220" s="135">
        <v>0</v>
      </c>
      <c r="G1220" s="197">
        <v>4000000</v>
      </c>
      <c r="H1220" s="312">
        <f>G1220/D1220*100</f>
        <v>100</v>
      </c>
      <c r="I1220" s="197">
        <f>G1220</f>
        <v>4000000</v>
      </c>
      <c r="J1220" s="314">
        <f t="shared" ref="J1220:J1221" si="474">I1220/D1220*100</f>
        <v>100</v>
      </c>
      <c r="K1220" s="331">
        <f>10/12</f>
        <v>0.83333333333333337</v>
      </c>
      <c r="L1220" s="301">
        <f>J1220</f>
        <v>100</v>
      </c>
      <c r="M1220" s="132"/>
      <c r="P1220" s="712"/>
    </row>
    <row r="1221" spans="1:16">
      <c r="A1221" s="93"/>
      <c r="B1221" s="64"/>
      <c r="C1221" s="65" t="s">
        <v>45</v>
      </c>
      <c r="D1221" s="66">
        <f>SUM(D1220:D1220)</f>
        <v>4000000</v>
      </c>
      <c r="E1221" s="66">
        <f t="shared" ref="E1221:F1221" si="475">SUM(E1215:E1220)</f>
        <v>0</v>
      </c>
      <c r="F1221" s="66">
        <f t="shared" si="475"/>
        <v>0</v>
      </c>
      <c r="G1221" s="122">
        <f>SUM(G1220)</f>
        <v>4000000</v>
      </c>
      <c r="H1221" s="323">
        <f>G1221/D1221*100</f>
        <v>100</v>
      </c>
      <c r="I1221" s="533">
        <f t="shared" ref="I1221" si="476">G1221</f>
        <v>4000000</v>
      </c>
      <c r="J1221" s="340">
        <f t="shared" si="474"/>
        <v>100</v>
      </c>
      <c r="K1221" s="356">
        <f>K1220</f>
        <v>0.83333333333333337</v>
      </c>
      <c r="L1221" s="302">
        <f>J1221</f>
        <v>100</v>
      </c>
      <c r="M1221" s="66"/>
      <c r="P1221" s="712"/>
    </row>
    <row r="1222" spans="1:16">
      <c r="A1222" s="84">
        <v>16</v>
      </c>
      <c r="B1222" s="826" t="s">
        <v>75</v>
      </c>
      <c r="C1222" s="827"/>
      <c r="D1222" s="57"/>
      <c r="E1222" s="119"/>
      <c r="F1222" s="131"/>
      <c r="G1222" s="119"/>
      <c r="H1222" s="156"/>
      <c r="I1222" s="123"/>
      <c r="J1222" s="152"/>
      <c r="K1222" s="152"/>
      <c r="L1222" s="152"/>
      <c r="M1222" s="131"/>
      <c r="P1222" s="712"/>
    </row>
    <row r="1223" spans="1:16" ht="15.75" thickBot="1">
      <c r="A1223" s="84"/>
      <c r="B1223" s="94" t="s">
        <v>72</v>
      </c>
      <c r="C1223" s="95" t="s">
        <v>103</v>
      </c>
      <c r="D1223" s="80">
        <v>10000000</v>
      </c>
      <c r="E1223" s="124"/>
      <c r="F1223" s="131"/>
      <c r="G1223" s="218">
        <v>9000000</v>
      </c>
      <c r="H1223" s="312">
        <f>G1223/D1223*100</f>
        <v>90</v>
      </c>
      <c r="I1223" s="313">
        <f t="shared" ref="I1223" si="477">G1223</f>
        <v>9000000</v>
      </c>
      <c r="J1223" s="314">
        <f t="shared" ref="J1223" si="478">I1223/D1223*100</f>
        <v>90</v>
      </c>
      <c r="K1223" s="331">
        <f>10/12</f>
        <v>0.83333333333333337</v>
      </c>
      <c r="L1223" s="311">
        <f>J1223</f>
        <v>90</v>
      </c>
      <c r="M1223" s="131"/>
      <c r="N1223" s="161">
        <v>1000000</v>
      </c>
      <c r="P1223" s="712"/>
    </row>
    <row r="1224" spans="1:16" ht="15.75" thickBot="1">
      <c r="A1224" s="93"/>
      <c r="B1224" s="83"/>
      <c r="C1224" s="65" t="s">
        <v>45</v>
      </c>
      <c r="D1224" s="66">
        <f>SUM(D1223)</f>
        <v>10000000</v>
      </c>
      <c r="E1224" s="66">
        <f t="shared" ref="E1224:F1224" si="479">SUM(E1222:E1223)</f>
        <v>0</v>
      </c>
      <c r="F1224" s="66">
        <f t="shared" si="479"/>
        <v>0</v>
      </c>
      <c r="G1224" s="122">
        <f>SUM(G1223)</f>
        <v>9000000</v>
      </c>
      <c r="H1224" s="302">
        <f t="shared" ref="H1224:J1224" si="480">SUM(H1223)</f>
        <v>90</v>
      </c>
      <c r="I1224" s="122">
        <f t="shared" si="480"/>
        <v>9000000</v>
      </c>
      <c r="J1224" s="302">
        <f t="shared" si="480"/>
        <v>90</v>
      </c>
      <c r="K1224" s="333">
        <f>SUM(K1223)</f>
        <v>0.83333333333333337</v>
      </c>
      <c r="L1224" s="302">
        <f t="shared" ref="L1224" si="481">SUM(L1223)</f>
        <v>90</v>
      </c>
      <c r="M1224" s="748"/>
      <c r="N1224" s="749">
        <f>SUM(N1223)</f>
        <v>1000000</v>
      </c>
      <c r="P1224" s="712"/>
    </row>
    <row r="1225" spans="1:16">
      <c r="A1225" s="84">
        <v>22</v>
      </c>
      <c r="B1225" s="826" t="s">
        <v>87</v>
      </c>
      <c r="C1225" s="827"/>
      <c r="D1225" s="57"/>
      <c r="E1225" s="119"/>
      <c r="F1225" s="131"/>
      <c r="G1225" s="119"/>
      <c r="H1225" s="152"/>
      <c r="I1225" s="119"/>
      <c r="J1225" s="152"/>
      <c r="K1225" s="152"/>
      <c r="L1225" s="152"/>
      <c r="M1225" s="131"/>
      <c r="P1225" s="712"/>
    </row>
    <row r="1226" spans="1:16" ht="26.25" thickBot="1">
      <c r="A1226" s="84"/>
      <c r="B1226" s="47" t="s">
        <v>26</v>
      </c>
      <c r="C1226" s="95" t="s">
        <v>76</v>
      </c>
      <c r="D1226" s="60">
        <v>3500000</v>
      </c>
      <c r="E1226" s="125">
        <v>0</v>
      </c>
      <c r="F1226" s="135">
        <v>0</v>
      </c>
      <c r="G1226" s="197">
        <f>875000+875000+875000</f>
        <v>2625000</v>
      </c>
      <c r="H1226" s="312">
        <f>G1226/D1226*100</f>
        <v>75</v>
      </c>
      <c r="I1226" s="197">
        <f>G1226</f>
        <v>2625000</v>
      </c>
      <c r="J1226" s="314">
        <f t="shared" ref="J1226:J1227" si="482">I1226/D1226*100</f>
        <v>75</v>
      </c>
      <c r="K1226" s="331">
        <f>10/12</f>
        <v>0.83333333333333337</v>
      </c>
      <c r="L1226" s="311">
        <f>J1226</f>
        <v>75</v>
      </c>
      <c r="M1226" s="132"/>
      <c r="N1226" s="161">
        <v>875000</v>
      </c>
      <c r="P1226" s="712"/>
    </row>
    <row r="1227" spans="1:16" ht="15.75" thickBot="1">
      <c r="A1227" s="63"/>
      <c r="B1227" s="83"/>
      <c r="C1227" s="65" t="s">
        <v>45</v>
      </c>
      <c r="D1227" s="66">
        <f>SUM(D1226:D1226)</f>
        <v>3500000</v>
      </c>
      <c r="E1227" s="66">
        <f t="shared" ref="E1227:F1227" si="483">SUM(E1224:E1226)</f>
        <v>0</v>
      </c>
      <c r="F1227" s="66">
        <f t="shared" si="483"/>
        <v>0</v>
      </c>
      <c r="G1227" s="122">
        <f>SUM(G1226)</f>
        <v>2625000</v>
      </c>
      <c r="H1227" s="535">
        <f>G1227/D1227*100</f>
        <v>75</v>
      </c>
      <c r="I1227" s="122">
        <f>SUM(I1226)</f>
        <v>2625000</v>
      </c>
      <c r="J1227" s="536">
        <f t="shared" si="482"/>
        <v>75</v>
      </c>
      <c r="K1227" s="333">
        <f>SUM(K1226)</f>
        <v>0.83333333333333337</v>
      </c>
      <c r="L1227" s="302">
        <f>SUM(L1226)</f>
        <v>75</v>
      </c>
      <c r="M1227" s="748"/>
      <c r="N1227" s="749">
        <f>SUM(N1226)</f>
        <v>875000</v>
      </c>
      <c r="P1227" s="712"/>
    </row>
    <row r="1228" spans="1:16">
      <c r="A1228" s="44">
        <v>17</v>
      </c>
      <c r="B1228" s="822" t="s">
        <v>56</v>
      </c>
      <c r="C1228" s="823"/>
      <c r="D1228" s="57"/>
      <c r="E1228" s="119"/>
      <c r="F1228" s="131"/>
      <c r="G1228" s="119"/>
      <c r="H1228" s="152"/>
      <c r="I1228" s="119"/>
      <c r="J1228" s="152"/>
      <c r="K1228" s="152"/>
      <c r="L1228" s="152"/>
      <c r="M1228" s="131"/>
      <c r="P1228" s="712"/>
    </row>
    <row r="1229" spans="1:16">
      <c r="A1229" s="44"/>
      <c r="B1229" s="47">
        <v>19</v>
      </c>
      <c r="C1229" s="824" t="s">
        <v>91</v>
      </c>
      <c r="E1229" s="120"/>
      <c r="F1229" s="132"/>
      <c r="G1229" s="119"/>
      <c r="H1229" s="59"/>
      <c r="I1229" s="119"/>
      <c r="J1229" s="59"/>
      <c r="K1229" s="59"/>
      <c r="L1229" s="59"/>
      <c r="M1229" s="132"/>
      <c r="P1229" s="712"/>
    </row>
    <row r="1230" spans="1:16" ht="15.75" thickBot="1">
      <c r="A1230" s="44"/>
      <c r="B1230" s="163"/>
      <c r="C1230" s="825"/>
      <c r="D1230" s="60">
        <v>25000000</v>
      </c>
      <c r="E1230" s="164">
        <v>0</v>
      </c>
      <c r="F1230" s="165">
        <v>0</v>
      </c>
      <c r="G1230" s="330">
        <v>18750000</v>
      </c>
      <c r="H1230" s="312">
        <f>G1230/D1230*100</f>
        <v>75</v>
      </c>
      <c r="I1230" s="197">
        <f>G1230</f>
        <v>18750000</v>
      </c>
      <c r="J1230" s="314">
        <f t="shared" ref="J1230" si="484">I1230/D1230*100</f>
        <v>75</v>
      </c>
      <c r="K1230" s="331">
        <f>10/12</f>
        <v>0.83333333333333337</v>
      </c>
      <c r="L1230" s="314">
        <f>J1230</f>
        <v>75</v>
      </c>
      <c r="M1230" s="165"/>
      <c r="N1230" s="161">
        <v>6250000</v>
      </c>
      <c r="P1230" s="712"/>
    </row>
    <row r="1231" spans="1:16" ht="15.75" thickBot="1">
      <c r="A1231" s="63"/>
      <c r="B1231" s="96"/>
      <c r="C1231" s="65" t="s">
        <v>45</v>
      </c>
      <c r="D1231" s="66">
        <f>SUM(D1230:D1230)</f>
        <v>25000000</v>
      </c>
      <c r="E1231" s="122">
        <f>SUM(E1229:E1229)</f>
        <v>0</v>
      </c>
      <c r="F1231" s="137">
        <f>SUM(F1229:F1229)</f>
        <v>0</v>
      </c>
      <c r="G1231" s="122">
        <f>SUM(G1230)</f>
        <v>18750000</v>
      </c>
      <c r="H1231" s="302">
        <f>SUM(H1230)</f>
        <v>75</v>
      </c>
      <c r="I1231" s="122">
        <f>SUM(I1230)</f>
        <v>18750000</v>
      </c>
      <c r="J1231" s="324">
        <f>SUM(J1230)</f>
        <v>75</v>
      </c>
      <c r="K1231" s="333">
        <f>SUM(K1230)</f>
        <v>0.83333333333333337</v>
      </c>
      <c r="L1231" s="340">
        <f>J1231</f>
        <v>75</v>
      </c>
      <c r="M1231" s="750"/>
      <c r="N1231" s="749">
        <f>SUM(N1230)</f>
        <v>6250000</v>
      </c>
      <c r="P1231" s="712"/>
    </row>
    <row r="1232" spans="1:16">
      <c r="A1232" s="44">
        <v>19</v>
      </c>
      <c r="B1232" s="826" t="s">
        <v>57</v>
      </c>
      <c r="C1232" s="827"/>
      <c r="D1232" s="57"/>
      <c r="E1232" s="119"/>
      <c r="F1232" s="131"/>
      <c r="G1232" s="119"/>
      <c r="H1232" s="152"/>
      <c r="I1232" s="119"/>
      <c r="J1232" s="152"/>
      <c r="K1232" s="152"/>
      <c r="L1232" s="152"/>
      <c r="M1232" s="131"/>
      <c r="P1232" s="712"/>
    </row>
    <row r="1233" spans="1:16">
      <c r="A1233" s="44"/>
      <c r="B1233" s="47" t="s">
        <v>26</v>
      </c>
      <c r="C1233" s="48" t="s">
        <v>58</v>
      </c>
      <c r="D1233" s="60">
        <v>15000000</v>
      </c>
      <c r="E1233" s="120">
        <v>0</v>
      </c>
      <c r="F1233" s="132">
        <v>0</v>
      </c>
      <c r="G1233" s="197">
        <v>15000000</v>
      </c>
      <c r="H1233" s="59">
        <f>G1233/D1233*100</f>
        <v>100</v>
      </c>
      <c r="I1233" s="197">
        <f>G1233</f>
        <v>15000000</v>
      </c>
      <c r="J1233" s="301">
        <f>I1233/D1233*100</f>
        <v>100</v>
      </c>
      <c r="K1233" s="331">
        <f>10/12</f>
        <v>0.83333333333333337</v>
      </c>
      <c r="L1233" s="311">
        <f>J1233</f>
        <v>100</v>
      </c>
      <c r="M1233" s="132"/>
      <c r="P1233" s="712"/>
    </row>
    <row r="1234" spans="1:16">
      <c r="A1234" s="183"/>
      <c r="B1234" s="64"/>
      <c r="C1234" s="65" t="s">
        <v>45</v>
      </c>
      <c r="D1234" s="66">
        <f>SUM(D1233)</f>
        <v>15000000</v>
      </c>
      <c r="E1234" s="122">
        <f>SUM(E1231:E1231)</f>
        <v>0</v>
      </c>
      <c r="F1234" s="66">
        <f>SUM(F1231:F1231)</f>
        <v>0</v>
      </c>
      <c r="G1234" s="122">
        <f>G1233</f>
        <v>15000000</v>
      </c>
      <c r="H1234" s="66">
        <f>G1234/D1234*100</f>
        <v>100</v>
      </c>
      <c r="I1234" s="122">
        <f>I1233</f>
        <v>15000000</v>
      </c>
      <c r="J1234" s="324">
        <f>I1234/D1234*100</f>
        <v>100</v>
      </c>
      <c r="K1234" s="333">
        <f>SUM(K1233)</f>
        <v>0.83333333333333337</v>
      </c>
      <c r="L1234" s="302">
        <f>SUM(L1233)</f>
        <v>100</v>
      </c>
      <c r="M1234" s="66"/>
      <c r="P1234" s="712"/>
    </row>
    <row r="1235" spans="1:16">
      <c r="A1235" s="44">
        <v>32</v>
      </c>
      <c r="B1235" s="97" t="s">
        <v>59</v>
      </c>
      <c r="C1235" s="98"/>
      <c r="D1235" s="57"/>
      <c r="E1235" s="119"/>
      <c r="F1235" s="131"/>
      <c r="G1235" s="119"/>
      <c r="H1235" s="152"/>
      <c r="I1235" s="119"/>
      <c r="J1235" s="152"/>
      <c r="K1235" s="152"/>
      <c r="L1235" s="152"/>
      <c r="M1235" s="131"/>
      <c r="P1235" s="712"/>
    </row>
    <row r="1236" spans="1:16" ht="15.75" thickBot="1">
      <c r="A1236" s="44"/>
      <c r="B1236" s="47" t="s">
        <v>26</v>
      </c>
      <c r="C1236" s="58" t="s">
        <v>60</v>
      </c>
      <c r="D1236" s="60">
        <v>15000000</v>
      </c>
      <c r="E1236" s="120">
        <v>0</v>
      </c>
      <c r="F1236" s="132">
        <v>0</v>
      </c>
      <c r="G1236" s="197">
        <f>750000+225000+ 1500000+750000+7500000+3525000</f>
        <v>14250000</v>
      </c>
      <c r="H1236" s="301">
        <f>G1236/D1236*100</f>
        <v>95</v>
      </c>
      <c r="I1236" s="192">
        <f>G1236</f>
        <v>14250000</v>
      </c>
      <c r="J1236" s="301">
        <f>I1236/D1236*100</f>
        <v>95</v>
      </c>
      <c r="K1236" s="331">
        <f>10/12</f>
        <v>0.83333333333333337</v>
      </c>
      <c r="L1236" s="311">
        <f>J1236</f>
        <v>95</v>
      </c>
      <c r="M1236" s="132"/>
      <c r="N1236" s="161">
        <v>750000</v>
      </c>
      <c r="P1236" s="712"/>
    </row>
    <row r="1237" spans="1:16" ht="15.75" thickBot="1">
      <c r="A1237" s="63"/>
      <c r="B1237" s="64"/>
      <c r="C1237" s="65" t="s">
        <v>45</v>
      </c>
      <c r="D1237" s="66">
        <f>SUM(D1236)</f>
        <v>15000000</v>
      </c>
      <c r="E1237" s="122">
        <f>SUM(E1236:E1236)</f>
        <v>0</v>
      </c>
      <c r="F1237" s="66">
        <f>SUM(F1236:F1236)</f>
        <v>0</v>
      </c>
      <c r="G1237" s="122">
        <f>G1236</f>
        <v>14250000</v>
      </c>
      <c r="H1237" s="302">
        <f>G1237/D1237*100</f>
        <v>95</v>
      </c>
      <c r="I1237" s="122">
        <f>I1236</f>
        <v>14250000</v>
      </c>
      <c r="J1237" s="302">
        <f>I1237/D1237*100</f>
        <v>95</v>
      </c>
      <c r="K1237" s="333">
        <f>SUM(K1236:K1236)</f>
        <v>0.83333333333333337</v>
      </c>
      <c r="L1237" s="302">
        <f>SUM(L1236:L1236)</f>
        <v>95</v>
      </c>
      <c r="M1237" s="748"/>
      <c r="N1237" s="749">
        <f>SUM(N1236)</f>
        <v>750000</v>
      </c>
      <c r="P1237" s="712"/>
    </row>
    <row r="1238" spans="1:16">
      <c r="A1238" s="99">
        <v>15</v>
      </c>
      <c r="B1238" s="100" t="s">
        <v>77</v>
      </c>
      <c r="C1238" s="699"/>
      <c r="D1238" s="70"/>
      <c r="E1238" s="123"/>
      <c r="F1238" s="134"/>
      <c r="G1238" s="123"/>
      <c r="H1238" s="156"/>
      <c r="I1238" s="123"/>
      <c r="J1238" s="144"/>
      <c r="K1238" s="156"/>
      <c r="L1238" s="156"/>
      <c r="M1238" s="134"/>
      <c r="P1238" s="712"/>
    </row>
    <row r="1239" spans="1:16">
      <c r="A1239" s="84"/>
      <c r="B1239" s="101" t="s">
        <v>78</v>
      </c>
      <c r="C1239" s="48"/>
      <c r="D1239" s="102"/>
      <c r="E1239" s="119"/>
      <c r="F1239" s="131"/>
      <c r="G1239" s="119"/>
      <c r="H1239" s="152"/>
      <c r="I1239" s="119"/>
      <c r="J1239" s="59"/>
      <c r="K1239" s="152"/>
      <c r="L1239" s="152"/>
      <c r="M1239" s="131"/>
      <c r="P1239" s="712"/>
    </row>
    <row r="1240" spans="1:16">
      <c r="A1240" s="44"/>
      <c r="B1240" s="47" t="s">
        <v>26</v>
      </c>
      <c r="C1240" s="48" t="s">
        <v>79</v>
      </c>
      <c r="D1240" s="60">
        <v>5000000</v>
      </c>
      <c r="E1240" s="120">
        <v>0</v>
      </c>
      <c r="F1240" s="132">
        <v>0</v>
      </c>
      <c r="G1240" s="199">
        <v>5000000</v>
      </c>
      <c r="H1240" s="59">
        <f>G1240/D1240*100</f>
        <v>100</v>
      </c>
      <c r="I1240" s="199">
        <f>G1240</f>
        <v>5000000</v>
      </c>
      <c r="J1240" s="301">
        <f>I1240/D1240*100</f>
        <v>100</v>
      </c>
      <c r="K1240" s="331">
        <f>10/12</f>
        <v>0.83333333333333337</v>
      </c>
      <c r="L1240" s="301">
        <f>J1240</f>
        <v>100</v>
      </c>
      <c r="M1240" s="132"/>
      <c r="P1240" s="712"/>
    </row>
    <row r="1241" spans="1:16">
      <c r="A1241" s="89"/>
      <c r="B1241" s="61" t="s">
        <v>80</v>
      </c>
      <c r="C1241" s="103" t="s">
        <v>104</v>
      </c>
      <c r="D1241" s="91">
        <v>15000000</v>
      </c>
      <c r="E1241" s="127">
        <v>0</v>
      </c>
      <c r="F1241" s="138">
        <v>0</v>
      </c>
      <c r="G1241" s="197">
        <v>15000000</v>
      </c>
      <c r="H1241" s="59">
        <f>G1241/D1241*100</f>
        <v>100</v>
      </c>
      <c r="I1241" s="197">
        <f>G1241</f>
        <v>15000000</v>
      </c>
      <c r="J1241" s="301">
        <f>I1241/D1241*100</f>
        <v>100</v>
      </c>
      <c r="K1241" s="331">
        <f>10/12</f>
        <v>0.83333333333333337</v>
      </c>
      <c r="L1241" s="301">
        <f>J1241</f>
        <v>100</v>
      </c>
      <c r="M1241" s="136"/>
      <c r="P1241" s="712"/>
    </row>
    <row r="1242" spans="1:16">
      <c r="A1242" s="93"/>
      <c r="B1242" s="83"/>
      <c r="C1242" s="65" t="s">
        <v>45</v>
      </c>
      <c r="D1242" s="66">
        <f>SUM(D1240:D1241)</f>
        <v>20000000</v>
      </c>
      <c r="E1242" s="66">
        <f>SUM(E1240:E1241)</f>
        <v>0</v>
      </c>
      <c r="F1242" s="66">
        <f t="shared" ref="F1242" si="485">SUM(F1240:F1241)</f>
        <v>0</v>
      </c>
      <c r="G1242" s="122">
        <f>SUM(G1240:G1241)</f>
        <v>20000000</v>
      </c>
      <c r="H1242" s="302">
        <f>G1242/D1242*100</f>
        <v>100</v>
      </c>
      <c r="I1242" s="537">
        <f>SUM(I1240:I1241)</f>
        <v>20000000</v>
      </c>
      <c r="J1242" s="302">
        <f>I1242/D1242*100</f>
        <v>100</v>
      </c>
      <c r="K1242" s="356">
        <f>K1241</f>
        <v>0.83333333333333337</v>
      </c>
      <c r="L1242" s="302">
        <f>L1241</f>
        <v>100</v>
      </c>
      <c r="M1242" s="66"/>
      <c r="P1242" s="712"/>
    </row>
    <row r="1243" spans="1:16">
      <c r="A1243" s="84">
        <v>18</v>
      </c>
      <c r="B1243" s="75" t="s">
        <v>82</v>
      </c>
      <c r="C1243" s="76"/>
      <c r="D1243" s="57"/>
      <c r="E1243" s="119"/>
      <c r="F1243" s="131"/>
      <c r="G1243" s="119"/>
      <c r="H1243" s="152"/>
      <c r="I1243" s="119"/>
      <c r="J1243" s="152"/>
      <c r="K1243" s="152"/>
      <c r="L1243" s="152"/>
      <c r="M1243" s="131"/>
      <c r="P1243" s="712"/>
    </row>
    <row r="1244" spans="1:16" ht="26.25">
      <c r="A1244" s="84"/>
      <c r="B1244" s="94" t="s">
        <v>29</v>
      </c>
      <c r="C1244" s="48" t="s">
        <v>92</v>
      </c>
      <c r="D1244" s="60">
        <v>7500000</v>
      </c>
      <c r="E1244" s="120">
        <v>0</v>
      </c>
      <c r="F1244" s="132">
        <v>0</v>
      </c>
      <c r="G1244" s="199">
        <v>7500000</v>
      </c>
      <c r="H1244" s="301">
        <f>G1244/D1244*100</f>
        <v>100</v>
      </c>
      <c r="I1244" s="192">
        <f>G1244</f>
        <v>7500000</v>
      </c>
      <c r="J1244" s="301">
        <f>I1244/D1244*100</f>
        <v>100</v>
      </c>
      <c r="K1244" s="331">
        <f>10/12</f>
        <v>0.83333333333333337</v>
      </c>
      <c r="L1244" s="311">
        <f>J1244</f>
        <v>100</v>
      </c>
      <c r="M1244" s="131"/>
      <c r="P1244" s="712"/>
    </row>
    <row r="1245" spans="1:16" ht="26.25">
      <c r="A1245" s="84"/>
      <c r="B1245" s="94" t="s">
        <v>83</v>
      </c>
      <c r="C1245" s="48" t="s">
        <v>93</v>
      </c>
      <c r="D1245" s="62">
        <v>10000000</v>
      </c>
      <c r="E1245" s="121">
        <v>0</v>
      </c>
      <c r="F1245" s="133">
        <v>0</v>
      </c>
      <c r="G1245" s="200">
        <v>10000000</v>
      </c>
      <c r="H1245" s="301">
        <f>G1245/D1245*100</f>
        <v>100</v>
      </c>
      <c r="I1245" s="200">
        <f>G1245</f>
        <v>10000000</v>
      </c>
      <c r="J1245" s="301">
        <f>I1245/D1245*100</f>
        <v>100</v>
      </c>
      <c r="K1245" s="331">
        <f>10/12</f>
        <v>0.83333333333333337</v>
      </c>
      <c r="L1245" s="311">
        <f>J1245</f>
        <v>100</v>
      </c>
      <c r="M1245" s="131"/>
      <c r="P1245" s="712"/>
    </row>
    <row r="1246" spans="1:16">
      <c r="A1246" s="93"/>
      <c r="B1246" s="64"/>
      <c r="C1246" s="65" t="s">
        <v>45</v>
      </c>
      <c r="D1246" s="66">
        <f>SUM(D1244:D1245)</f>
        <v>17500000</v>
      </c>
      <c r="E1246" s="66">
        <f t="shared" ref="E1246:F1246" si="486">SUM(E1244:E1245)</f>
        <v>0</v>
      </c>
      <c r="F1246" s="66">
        <f t="shared" si="486"/>
        <v>0</v>
      </c>
      <c r="G1246" s="122">
        <f>SUM(G1244:G1245)</f>
        <v>17500000</v>
      </c>
      <c r="H1246" s="302">
        <f>G1246/D1246*100</f>
        <v>100</v>
      </c>
      <c r="I1246" s="122">
        <f t="shared" ref="I1246" si="487">SUM(I1244:I1245)</f>
        <v>17500000</v>
      </c>
      <c r="J1246" s="302">
        <f>I1246/D1246*100</f>
        <v>100</v>
      </c>
      <c r="K1246" s="356">
        <f>K1245</f>
        <v>0.83333333333333337</v>
      </c>
      <c r="L1246" s="302">
        <f>SUM(L1245:L1245)</f>
        <v>100</v>
      </c>
      <c r="M1246" s="66"/>
      <c r="P1246" s="712"/>
    </row>
    <row r="1247" spans="1:16">
      <c r="A1247" s="99">
        <v>26</v>
      </c>
      <c r="B1247" s="104" t="s">
        <v>105</v>
      </c>
      <c r="C1247" s="105"/>
      <c r="D1247" s="57"/>
      <c r="E1247" s="119"/>
      <c r="F1247" s="131"/>
      <c r="G1247" s="119"/>
      <c r="H1247" s="152"/>
      <c r="I1247" s="119"/>
      <c r="J1247" s="152"/>
      <c r="K1247" s="152"/>
      <c r="L1247" s="152"/>
      <c r="M1247" s="131"/>
      <c r="P1247" s="712"/>
    </row>
    <row r="1248" spans="1:16">
      <c r="A1248" s="44"/>
      <c r="B1248" s="47" t="s">
        <v>84</v>
      </c>
      <c r="C1248" s="48" t="s">
        <v>106</v>
      </c>
      <c r="D1248" s="60">
        <v>5000000</v>
      </c>
      <c r="E1248" s="120" t="s">
        <v>132</v>
      </c>
      <c r="F1248" s="132">
        <v>0</v>
      </c>
      <c r="G1248" s="120">
        <v>5000000</v>
      </c>
      <c r="H1248" s="301">
        <f>G1248/D1248*100</f>
        <v>100</v>
      </c>
      <c r="I1248" s="192">
        <f>G1248</f>
        <v>5000000</v>
      </c>
      <c r="J1248" s="301">
        <f>I1248/D1248*100</f>
        <v>100</v>
      </c>
      <c r="K1248" s="349">
        <f>10/12</f>
        <v>0.83333333333333337</v>
      </c>
      <c r="L1248" s="59">
        <f>J1248</f>
        <v>100</v>
      </c>
      <c r="M1248" s="132"/>
      <c r="P1248" s="712"/>
    </row>
    <row r="1249" spans="1:16">
      <c r="A1249" s="63"/>
      <c r="B1249" s="64"/>
      <c r="C1249" s="65" t="s">
        <v>45</v>
      </c>
      <c r="D1249" s="66">
        <f>SUM(D1248)</f>
        <v>5000000</v>
      </c>
      <c r="E1249" s="66">
        <v>0</v>
      </c>
      <c r="F1249" s="66">
        <f t="shared" ref="F1249" si="488">SUM(F1246:F1248)</f>
        <v>0</v>
      </c>
      <c r="G1249" s="122">
        <f>SUM(G1248)</f>
        <v>5000000</v>
      </c>
      <c r="H1249" s="302">
        <f>G1249/D1249*100</f>
        <v>100</v>
      </c>
      <c r="I1249" s="122">
        <f>SUM(I1248)</f>
        <v>5000000</v>
      </c>
      <c r="J1249" s="302">
        <f>I1249/D1249*100</f>
        <v>100</v>
      </c>
      <c r="K1249" s="350">
        <f>10/12</f>
        <v>0.83333333333333337</v>
      </c>
      <c r="L1249" s="66">
        <f>J1249</f>
        <v>100</v>
      </c>
      <c r="M1249" s="66"/>
      <c r="P1249" s="712"/>
    </row>
    <row r="1250" spans="1:16">
      <c r="A1250" s="99">
        <v>16</v>
      </c>
      <c r="B1250" s="104" t="s">
        <v>123</v>
      </c>
      <c r="C1250" s="105"/>
      <c r="D1250" s="57"/>
      <c r="E1250" s="119"/>
      <c r="F1250" s="131"/>
      <c r="G1250" s="119"/>
      <c r="H1250" s="152"/>
      <c r="I1250" s="119"/>
      <c r="J1250" s="152"/>
      <c r="K1250" s="152"/>
      <c r="L1250" s="152"/>
      <c r="M1250" s="131"/>
      <c r="P1250" s="712"/>
    </row>
    <row r="1251" spans="1:16">
      <c r="A1251" s="84"/>
      <c r="B1251" s="185" t="s">
        <v>124</v>
      </c>
      <c r="C1251" s="186"/>
      <c r="D1251" s="182"/>
      <c r="E1251" s="124"/>
      <c r="F1251" s="131"/>
      <c r="G1251" s="131"/>
      <c r="H1251" s="152"/>
      <c r="I1251" s="131"/>
      <c r="J1251" s="152"/>
      <c r="K1251" s="152"/>
      <c r="L1251" s="152"/>
      <c r="M1251" s="152"/>
      <c r="P1251" s="712"/>
    </row>
    <row r="1252" spans="1:16" ht="26.25">
      <c r="A1252" s="44"/>
      <c r="B1252" s="282" t="s">
        <v>46</v>
      </c>
      <c r="C1252" s="50" t="s">
        <v>217</v>
      </c>
      <c r="D1252" s="60">
        <v>27000000</v>
      </c>
      <c r="E1252" s="125">
        <v>0</v>
      </c>
      <c r="F1252" s="135">
        <v>0</v>
      </c>
      <c r="G1252" s="124">
        <v>0</v>
      </c>
      <c r="H1252" s="59" t="s">
        <v>132</v>
      </c>
      <c r="I1252" s="124">
        <v>0</v>
      </c>
      <c r="J1252" s="59" t="s">
        <v>132</v>
      </c>
      <c r="K1252" s="59">
        <v>0</v>
      </c>
      <c r="L1252" s="59">
        <v>0</v>
      </c>
      <c r="M1252" s="59"/>
      <c r="P1252" s="712"/>
    </row>
    <row r="1253" spans="1:16">
      <c r="A1253" s="44"/>
      <c r="B1253" s="163" t="s">
        <v>111</v>
      </c>
      <c r="C1253" s="204" t="s">
        <v>81</v>
      </c>
      <c r="D1253" s="205">
        <v>3000000</v>
      </c>
      <c r="E1253" s="125">
        <v>0</v>
      </c>
      <c r="F1253" s="135">
        <v>0</v>
      </c>
      <c r="G1253" s="201">
        <v>3000000</v>
      </c>
      <c r="H1253" s="301">
        <f>G1253/D1253*100</f>
        <v>100</v>
      </c>
      <c r="I1253" s="201">
        <f>G1253</f>
        <v>3000000</v>
      </c>
      <c r="J1253" s="528">
        <f>I1253/D1253*100</f>
        <v>100</v>
      </c>
      <c r="K1253" s="349">
        <f>10/12</f>
        <v>0.83333333333333337</v>
      </c>
      <c r="L1253" s="187">
        <f>J1253</f>
        <v>100</v>
      </c>
      <c r="M1253" s="188"/>
      <c r="P1253" s="712"/>
    </row>
    <row r="1254" spans="1:16">
      <c r="A1254" s="63"/>
      <c r="B1254" s="64"/>
      <c r="C1254" s="65" t="s">
        <v>45</v>
      </c>
      <c r="D1254" s="66">
        <f>SUM(D1252:D1253)</f>
        <v>30000000</v>
      </c>
      <c r="E1254" s="66">
        <f>SUM(E1252:E1253)</f>
        <v>0</v>
      </c>
      <c r="F1254" s="66">
        <f>SUM(F1252:F1253)</f>
        <v>0</v>
      </c>
      <c r="G1254" s="122">
        <f>SUM(G1253)</f>
        <v>3000000</v>
      </c>
      <c r="H1254" s="302">
        <f>G1254/D1254*100</f>
        <v>10</v>
      </c>
      <c r="I1254" s="122">
        <f>SUM(I1252:I1253)</f>
        <v>3000000</v>
      </c>
      <c r="J1254" s="324">
        <f>I1254/D1254*100</f>
        <v>10</v>
      </c>
      <c r="K1254" s="350">
        <f>10/12</f>
        <v>0.83333333333333337</v>
      </c>
      <c r="L1254" s="66">
        <f>SUM(L1252:L1253)</f>
        <v>100</v>
      </c>
      <c r="M1254" s="66"/>
      <c r="P1254" s="712"/>
    </row>
    <row r="1255" spans="1:16">
      <c r="A1255" s="99">
        <v>17</v>
      </c>
      <c r="B1255" s="104" t="s">
        <v>127</v>
      </c>
      <c r="C1255" s="105"/>
      <c r="D1255" s="57"/>
      <c r="E1255" s="119"/>
      <c r="F1255" s="131"/>
      <c r="G1255" s="119"/>
      <c r="H1255" s="152"/>
      <c r="I1255" s="119"/>
      <c r="J1255" s="152"/>
      <c r="K1255" s="152"/>
      <c r="L1255" s="152"/>
      <c r="M1255" s="131"/>
      <c r="P1255" s="712"/>
    </row>
    <row r="1256" spans="1:16" ht="26.25">
      <c r="A1256" s="44"/>
      <c r="B1256" s="47" t="s">
        <v>84</v>
      </c>
      <c r="C1256" s="48" t="s">
        <v>128</v>
      </c>
      <c r="D1256" s="60">
        <v>10000000</v>
      </c>
      <c r="E1256" s="120">
        <v>0</v>
      </c>
      <c r="F1256" s="132">
        <v>0</v>
      </c>
      <c r="G1256" s="120" t="s">
        <v>132</v>
      </c>
      <c r="H1256" s="59" t="s">
        <v>132</v>
      </c>
      <c r="I1256" s="120">
        <v>0</v>
      </c>
      <c r="J1256" s="59" t="s">
        <v>132</v>
      </c>
      <c r="K1256" s="157">
        <v>0</v>
      </c>
      <c r="L1256" s="59">
        <v>0</v>
      </c>
      <c r="M1256" s="132"/>
      <c r="P1256" s="712"/>
    </row>
    <row r="1257" spans="1:16">
      <c r="A1257" s="63"/>
      <c r="B1257" s="64"/>
      <c r="C1257" s="65" t="s">
        <v>45</v>
      </c>
      <c r="D1257" s="66">
        <f>SUM(D1256)</f>
        <v>10000000</v>
      </c>
      <c r="E1257" s="66">
        <f t="shared" ref="E1257:F1257" si="489">SUM(E1254:E1256)</f>
        <v>0</v>
      </c>
      <c r="F1257" s="66">
        <f t="shared" si="489"/>
        <v>0</v>
      </c>
      <c r="G1257" s="122" t="s">
        <v>132</v>
      </c>
      <c r="H1257" s="66" t="s">
        <v>132</v>
      </c>
      <c r="I1257" s="122" t="s">
        <v>132</v>
      </c>
      <c r="J1257" s="66" t="s">
        <v>132</v>
      </c>
      <c r="K1257" s="66">
        <f>SUM(K1256)</f>
        <v>0</v>
      </c>
      <c r="L1257" s="66">
        <v>0</v>
      </c>
      <c r="M1257" s="66"/>
      <c r="P1257" s="712"/>
    </row>
    <row r="1258" spans="1:16">
      <c r="A1258" s="44">
        <v>18</v>
      </c>
      <c r="B1258" s="104" t="s">
        <v>218</v>
      </c>
      <c r="C1258" s="105"/>
      <c r="D1258" s="70"/>
      <c r="E1258" s="70"/>
      <c r="F1258" s="70"/>
      <c r="G1258" s="287"/>
      <c r="H1258" s="70"/>
      <c r="I1258" s="287"/>
      <c r="J1258" s="70"/>
      <c r="K1258" s="70"/>
      <c r="L1258" s="70"/>
      <c r="M1258" s="70"/>
      <c r="P1258" s="712"/>
    </row>
    <row r="1259" spans="1:16" ht="25.5">
      <c r="A1259" s="44"/>
      <c r="B1259" s="283" t="s">
        <v>83</v>
      </c>
      <c r="C1259" s="284" t="s">
        <v>219</v>
      </c>
      <c r="D1259" s="288">
        <v>50000000</v>
      </c>
      <c r="E1259" s="285">
        <v>0</v>
      </c>
      <c r="F1259" s="285">
        <v>0</v>
      </c>
      <c r="G1259" s="286">
        <v>16200000</v>
      </c>
      <c r="H1259" s="301">
        <f>G1259/D1259*100</f>
        <v>32.4</v>
      </c>
      <c r="I1259" s="286">
        <f>G1259</f>
        <v>16200000</v>
      </c>
      <c r="J1259" s="301">
        <f>I1259/D1259*100</f>
        <v>32.4</v>
      </c>
      <c r="K1259" s="349">
        <f>10/12</f>
        <v>0.83333333333333337</v>
      </c>
      <c r="L1259" s="323">
        <f>J1259</f>
        <v>32.4</v>
      </c>
      <c r="M1259" s="285"/>
      <c r="P1259" s="712"/>
    </row>
    <row r="1260" spans="1:16">
      <c r="A1260" s="63"/>
      <c r="B1260" s="64"/>
      <c r="C1260" s="65" t="s">
        <v>45</v>
      </c>
      <c r="D1260" s="66">
        <f>SUM(D1259)</f>
        <v>50000000</v>
      </c>
      <c r="E1260" s="66">
        <v>0</v>
      </c>
      <c r="F1260" s="66">
        <v>0</v>
      </c>
      <c r="G1260" s="122">
        <f>SUM(G1259)</f>
        <v>16200000</v>
      </c>
      <c r="H1260" s="302">
        <f>G1260/D1260*100</f>
        <v>32.4</v>
      </c>
      <c r="I1260" s="122">
        <f>SUM(I1259)</f>
        <v>16200000</v>
      </c>
      <c r="J1260" s="302">
        <f>I1260/D1260*100</f>
        <v>32.4</v>
      </c>
      <c r="K1260" s="350">
        <f>10/12</f>
        <v>0.83333333333333337</v>
      </c>
      <c r="L1260" s="302">
        <f>J1260</f>
        <v>32.4</v>
      </c>
      <c r="M1260" s="66"/>
      <c r="P1260" s="712"/>
    </row>
    <row r="1261" spans="1:16">
      <c r="A1261" s="44">
        <v>24</v>
      </c>
      <c r="B1261" s="104" t="s">
        <v>221</v>
      </c>
      <c r="C1261" s="105"/>
      <c r="D1261" s="70"/>
      <c r="E1261" s="70"/>
      <c r="F1261" s="70"/>
      <c r="G1261" s="287"/>
      <c r="H1261" s="70"/>
      <c r="I1261" s="287"/>
      <c r="J1261" s="70"/>
      <c r="K1261" s="70"/>
      <c r="L1261" s="70"/>
      <c r="M1261" s="70"/>
      <c r="P1261" s="712"/>
    </row>
    <row r="1262" spans="1:16" ht="15.75" thickBot="1">
      <c r="A1262" s="44"/>
      <c r="B1262" s="283" t="s">
        <v>83</v>
      </c>
      <c r="C1262" s="284" t="s">
        <v>222</v>
      </c>
      <c r="D1262" s="288">
        <v>50000000</v>
      </c>
      <c r="E1262" s="285">
        <v>0</v>
      </c>
      <c r="F1262" s="285">
        <v>0</v>
      </c>
      <c r="G1262" s="286">
        <v>0</v>
      </c>
      <c r="H1262" s="285">
        <v>0</v>
      </c>
      <c r="I1262" s="286">
        <v>0</v>
      </c>
      <c r="J1262" s="285">
        <v>0</v>
      </c>
      <c r="K1262" s="157">
        <v>0</v>
      </c>
      <c r="L1262" s="285">
        <v>0</v>
      </c>
      <c r="M1262" s="285"/>
      <c r="N1262" s="161">
        <v>51500000</v>
      </c>
      <c r="P1262" s="712"/>
    </row>
    <row r="1263" spans="1:16" ht="15.75" thickBot="1">
      <c r="A1263" s="63"/>
      <c r="B1263" s="64"/>
      <c r="C1263" s="65" t="s">
        <v>45</v>
      </c>
      <c r="D1263" s="66">
        <f>SUM(D1262)</f>
        <v>50000000</v>
      </c>
      <c r="E1263" s="66">
        <v>0</v>
      </c>
      <c r="F1263" s="66">
        <v>0</v>
      </c>
      <c r="G1263" s="122">
        <v>0</v>
      </c>
      <c r="H1263" s="66">
        <v>0</v>
      </c>
      <c r="I1263" s="122">
        <v>0</v>
      </c>
      <c r="J1263" s="66">
        <v>0</v>
      </c>
      <c r="K1263" s="66">
        <f>SUM(K1262)</f>
        <v>0</v>
      </c>
      <c r="L1263" s="66">
        <v>0</v>
      </c>
      <c r="M1263" s="748"/>
      <c r="N1263" s="749">
        <f>SUM(N1262)</f>
        <v>51500000</v>
      </c>
      <c r="P1263" s="712"/>
    </row>
    <row r="1264" spans="1:16" ht="15.75" thickBot="1">
      <c r="A1264" s="166"/>
      <c r="B1264" s="167" t="s">
        <v>85</v>
      </c>
      <c r="C1264" s="106"/>
      <c r="D1264" s="107">
        <f>D1158+D1155</f>
        <v>3251325000</v>
      </c>
      <c r="E1264" s="107">
        <f>E1158+E1155</f>
        <v>0</v>
      </c>
      <c r="F1264" s="107">
        <f>F1158+F1155</f>
        <v>0</v>
      </c>
      <c r="G1264" s="107">
        <f>G1155+G1158</f>
        <v>2365466490</v>
      </c>
      <c r="H1264" s="213">
        <f>G1264/D1264*100</f>
        <v>72.753923092892904</v>
      </c>
      <c r="I1264" s="107">
        <f>I1158+I1155</f>
        <v>2365466490</v>
      </c>
      <c r="J1264" s="213">
        <f>I1264/D1264*100</f>
        <v>72.753923092892904</v>
      </c>
      <c r="K1264" s="674">
        <f>10/12</f>
        <v>0.83333333333333337</v>
      </c>
      <c r="L1264" s="213">
        <f>J1264</f>
        <v>72.753923092892904</v>
      </c>
      <c r="M1264" s="158"/>
      <c r="N1264" s="161">
        <f>N1176+N1185+N1204+N1211+N1224+N1227+N1231+N1237+N1189</f>
        <v>77596363</v>
      </c>
      <c r="P1264" s="712"/>
    </row>
    <row r="1265" spans="1:16" ht="15.75" thickTop="1">
      <c r="A1265" s="342"/>
      <c r="B1265" s="343"/>
      <c r="C1265" s="344"/>
      <c r="D1265" s="345"/>
      <c r="E1265" s="345"/>
      <c r="F1265" s="345"/>
      <c r="G1265" s="711"/>
      <c r="H1265" s="529"/>
      <c r="I1265" s="345"/>
      <c r="J1265" s="346"/>
      <c r="K1265" s="347"/>
      <c r="L1265" s="346"/>
      <c r="M1265" s="348"/>
      <c r="N1265" s="161">
        <f>N1262+N1174</f>
        <v>67716000</v>
      </c>
    </row>
    <row r="1266" spans="1:16">
      <c r="A1266" s="168"/>
      <c r="B1266" s="169"/>
      <c r="C1266" s="170"/>
      <c r="D1266" s="171"/>
      <c r="E1266" s="108"/>
      <c r="G1266" s="710"/>
      <c r="H1266" s="128"/>
      <c r="I1266" s="159" t="s">
        <v>552</v>
      </c>
      <c r="J1266" s="128"/>
      <c r="L1266" s="128"/>
      <c r="M1266" s="128"/>
      <c r="N1266" s="667">
        <v>890100510</v>
      </c>
      <c r="O1266" s="544">
        <v>62000000</v>
      </c>
    </row>
    <row r="1267" spans="1:16">
      <c r="A1267" s="172"/>
      <c r="B1267" s="169"/>
      <c r="C1267" s="173"/>
      <c r="D1267" s="171"/>
      <c r="E1267" s="174"/>
      <c r="H1267" s="128"/>
      <c r="I1267" s="159" t="s">
        <v>86</v>
      </c>
      <c r="J1267" s="128"/>
      <c r="L1267" s="128"/>
      <c r="M1267" s="128"/>
      <c r="N1267" s="161">
        <v>4242000</v>
      </c>
      <c r="O1267" s="544">
        <v>30000000</v>
      </c>
      <c r="P1267" s="544">
        <f>N1264-O1267</f>
        <v>47596363</v>
      </c>
    </row>
    <row r="1268" spans="1:16">
      <c r="A1268" s="172"/>
      <c r="B1268" s="169"/>
      <c r="C1268" s="173"/>
      <c r="D1268" s="171"/>
      <c r="E1268" s="174"/>
      <c r="H1268" s="128"/>
      <c r="I1268" s="159"/>
      <c r="J1268" s="128"/>
      <c r="L1268" s="128"/>
      <c r="M1268" s="128"/>
      <c r="N1268" s="161">
        <f>N1266-N1267</f>
        <v>885858510</v>
      </c>
      <c r="O1268" s="544">
        <f>O1267/O1266*100</f>
        <v>48.387096774193552</v>
      </c>
      <c r="P1268" s="544">
        <f>O1266-P1267</f>
        <v>14403637</v>
      </c>
    </row>
    <row r="1269" spans="1:16">
      <c r="A1269" s="172"/>
      <c r="B1269" s="169"/>
      <c r="C1269" s="173"/>
      <c r="D1269" s="171"/>
      <c r="E1269" s="108"/>
      <c r="H1269" s="128"/>
      <c r="I1269" s="159"/>
      <c r="J1269" s="128"/>
      <c r="L1269" s="128"/>
      <c r="M1269" s="128"/>
    </row>
    <row r="1270" spans="1:16">
      <c r="A1270" s="175"/>
      <c r="B1270" s="176"/>
      <c r="C1270" s="177"/>
      <c r="D1270" s="171"/>
      <c r="E1270" s="108"/>
      <c r="G1270" s="128" t="s">
        <v>227</v>
      </c>
      <c r="H1270" s="128"/>
      <c r="I1270" s="160" t="s">
        <v>120</v>
      </c>
      <c r="J1270" s="128"/>
      <c r="L1270" s="128"/>
      <c r="M1270" s="128"/>
      <c r="O1270" s="544">
        <f>N1264+N1265</f>
        <v>145312363</v>
      </c>
    </row>
    <row r="1271" spans="1:16">
      <c r="A1271" s="175"/>
      <c r="B1271" s="176"/>
      <c r="C1271" s="177"/>
      <c r="D1271" s="175"/>
      <c r="E1271" s="108"/>
      <c r="H1271" s="128"/>
      <c r="I1271" s="159" t="s">
        <v>491</v>
      </c>
      <c r="J1271" s="128"/>
      <c r="L1271" s="128"/>
      <c r="M1271" s="128"/>
    </row>
    <row r="1272" spans="1:16">
      <c r="A1272" s="175"/>
      <c r="B1272" s="176"/>
      <c r="C1272" s="177"/>
      <c r="D1272" s="175"/>
      <c r="E1272" s="108"/>
      <c r="H1272" s="128"/>
      <c r="I1272" s="159" t="s">
        <v>121</v>
      </c>
      <c r="J1272" s="128"/>
      <c r="L1272" s="128"/>
      <c r="M1272" s="128"/>
    </row>
    <row r="1273" spans="1:16" ht="15.75">
      <c r="A1273" s="832" t="s">
        <v>223</v>
      </c>
      <c r="B1273" s="832"/>
      <c r="C1273" s="832"/>
      <c r="D1273" s="832"/>
      <c r="E1273" s="832"/>
      <c r="F1273" s="832"/>
      <c r="G1273" s="832"/>
      <c r="H1273" s="832"/>
      <c r="I1273" s="832"/>
      <c r="J1273" s="832"/>
      <c r="K1273" s="832"/>
      <c r="L1273" s="832"/>
      <c r="M1273" s="832"/>
    </row>
    <row r="1274" spans="1:16" ht="15.75">
      <c r="A1274" s="832" t="s">
        <v>224</v>
      </c>
      <c r="B1274" s="832"/>
      <c r="C1274" s="832"/>
      <c r="D1274" s="832"/>
      <c r="E1274" s="832"/>
      <c r="F1274" s="832"/>
      <c r="G1274" s="832"/>
      <c r="H1274" s="832"/>
      <c r="I1274" s="832"/>
      <c r="J1274" s="832"/>
      <c r="K1274" s="832"/>
      <c r="L1274" s="832"/>
      <c r="M1274" s="832"/>
    </row>
    <row r="1275" spans="1:16" ht="15.75">
      <c r="A1275" s="743"/>
      <c r="B1275" s="743"/>
      <c r="C1275" s="743"/>
      <c r="D1275" s="743"/>
      <c r="E1275" s="743"/>
      <c r="F1275" s="743"/>
      <c r="G1275" s="303"/>
      <c r="H1275" s="743"/>
      <c r="I1275" s="743"/>
      <c r="J1275" s="743"/>
      <c r="K1275" s="303"/>
      <c r="L1275" s="743"/>
      <c r="M1275" s="743"/>
    </row>
    <row r="1276" spans="1:16" ht="16.5">
      <c r="A1276" s="1" t="s">
        <v>213</v>
      </c>
      <c r="B1276" s="2"/>
      <c r="C1276" s="3" t="s">
        <v>2</v>
      </c>
      <c r="E1276" s="108"/>
      <c r="G1276" s="669"/>
      <c r="H1276" s="4"/>
      <c r="I1276" s="5"/>
      <c r="J1276" s="4"/>
      <c r="M1276" s="4"/>
    </row>
    <row r="1277" spans="1:16" ht="17.25" thickBot="1">
      <c r="A1277" s="14" t="s">
        <v>225</v>
      </c>
      <c r="B1277" s="14"/>
      <c r="C1277" s="292" t="s">
        <v>548</v>
      </c>
      <c r="D1277" s="129"/>
      <c r="E1277" s="109"/>
      <c r="F1277" s="129"/>
      <c r="G1277" s="305"/>
      <c r="H1277" s="14"/>
      <c r="I1277" s="16"/>
      <c r="J1277" s="14"/>
      <c r="K1277" s="129"/>
      <c r="L1277" s="15"/>
      <c r="M1277" s="14"/>
    </row>
    <row r="1278" spans="1:16" ht="15.75" thickTop="1">
      <c r="A1278" s="833" t="s">
        <v>3</v>
      </c>
      <c r="B1278" s="836" t="s">
        <v>4</v>
      </c>
      <c r="C1278" s="837"/>
      <c r="D1278" s="289" t="s">
        <v>5</v>
      </c>
      <c r="E1278" s="110" t="s">
        <v>6</v>
      </c>
      <c r="F1278" s="130"/>
      <c r="G1278" s="842" t="s">
        <v>7</v>
      </c>
      <c r="H1278" s="843"/>
      <c r="I1278" s="843"/>
      <c r="J1278" s="843"/>
      <c r="K1278" s="844" t="s">
        <v>8</v>
      </c>
      <c r="L1278" s="844"/>
      <c r="M1278" s="833" t="s">
        <v>9</v>
      </c>
    </row>
    <row r="1279" spans="1:16">
      <c r="A1279" s="834"/>
      <c r="B1279" s="838"/>
      <c r="C1279" s="839"/>
      <c r="D1279" s="290" t="s">
        <v>10</v>
      </c>
      <c r="E1279" s="111" t="s">
        <v>11</v>
      </c>
      <c r="F1279" s="111" t="s">
        <v>12</v>
      </c>
      <c r="G1279" s="111" t="s">
        <v>13</v>
      </c>
      <c r="H1279" s="845" t="s">
        <v>14</v>
      </c>
      <c r="I1279" s="6" t="s">
        <v>15</v>
      </c>
      <c r="J1279" s="846" t="s">
        <v>14</v>
      </c>
      <c r="K1279" s="321" t="s">
        <v>16</v>
      </c>
      <c r="L1279" s="7" t="s">
        <v>17</v>
      </c>
      <c r="M1279" s="834"/>
    </row>
    <row r="1280" spans="1:16">
      <c r="A1280" s="835"/>
      <c r="B1280" s="840"/>
      <c r="C1280" s="841"/>
      <c r="D1280" s="291" t="s">
        <v>18</v>
      </c>
      <c r="E1280" s="112" t="s">
        <v>18</v>
      </c>
      <c r="F1280" s="112"/>
      <c r="G1280" s="306" t="s">
        <v>19</v>
      </c>
      <c r="H1280" s="835"/>
      <c r="I1280" s="8" t="s">
        <v>19</v>
      </c>
      <c r="J1280" s="847"/>
      <c r="K1280" s="322" t="s">
        <v>233</v>
      </c>
      <c r="L1280" s="9" t="s">
        <v>233</v>
      </c>
      <c r="M1280" s="835"/>
    </row>
    <row r="1281" spans="1:15" ht="15.75" thickBot="1">
      <c r="A1281" s="17">
        <v>1</v>
      </c>
      <c r="B1281" s="828">
        <v>2</v>
      </c>
      <c r="C1281" s="829"/>
      <c r="D1281" s="113">
        <v>3</v>
      </c>
      <c r="E1281" s="113">
        <v>4</v>
      </c>
      <c r="F1281" s="113">
        <v>5</v>
      </c>
      <c r="G1281" s="113">
        <v>6</v>
      </c>
      <c r="H1281" s="18">
        <v>7</v>
      </c>
      <c r="I1281" s="18">
        <v>8</v>
      </c>
      <c r="J1281" s="18">
        <v>9</v>
      </c>
      <c r="K1281" s="113">
        <v>10</v>
      </c>
      <c r="L1281" s="18">
        <v>11</v>
      </c>
      <c r="M1281" s="18">
        <v>12</v>
      </c>
      <c r="N1281" s="773" t="s">
        <v>573</v>
      </c>
    </row>
    <row r="1282" spans="1:15" ht="15.75" thickBot="1">
      <c r="A1282" s="35" t="s">
        <v>20</v>
      </c>
      <c r="B1282" s="36" t="s">
        <v>21</v>
      </c>
      <c r="C1282" s="37"/>
      <c r="D1282" s="30">
        <f>D1283+D1284</f>
        <v>2162113000</v>
      </c>
      <c r="E1282" s="30">
        <f>E1283</f>
        <v>0</v>
      </c>
      <c r="F1282" s="30">
        <v>0</v>
      </c>
      <c r="G1282" s="30">
        <f>G1283+G1284</f>
        <v>1712737080</v>
      </c>
      <c r="H1282" s="214">
        <f>G1282/D1282*100</f>
        <v>79.215891121324361</v>
      </c>
      <c r="I1282" s="30">
        <f>G1282</f>
        <v>1712737080</v>
      </c>
      <c r="J1282" s="217">
        <f>I1282/D1282*100</f>
        <v>79.215891121324361</v>
      </c>
      <c r="K1282" s="332">
        <f>11/12</f>
        <v>0.91666666666666663</v>
      </c>
      <c r="L1282" s="215">
        <f>J1282</f>
        <v>79.215891121324361</v>
      </c>
      <c r="M1282" s="53"/>
      <c r="N1282" s="774"/>
      <c r="O1282" s="774" t="s">
        <v>564</v>
      </c>
    </row>
    <row r="1283" spans="1:15" ht="15.75" thickBot="1">
      <c r="A1283" s="38" t="s">
        <v>22</v>
      </c>
      <c r="B1283" s="39" t="s">
        <v>23</v>
      </c>
      <c r="C1283" s="40"/>
      <c r="D1283" s="31">
        <v>1747153000</v>
      </c>
      <c r="E1283" s="114">
        <v>0</v>
      </c>
      <c r="F1283" s="30">
        <v>0</v>
      </c>
      <c r="G1283" s="30">
        <v>1418480262</v>
      </c>
      <c r="H1283" s="214">
        <f>G1283/D1283*100</f>
        <v>81.188096405981611</v>
      </c>
      <c r="I1283" s="296">
        <f>G1283</f>
        <v>1418480262</v>
      </c>
      <c r="J1283" s="217">
        <f>I1283/D1283*100</f>
        <v>81.188096405981611</v>
      </c>
      <c r="K1283" s="332">
        <f>11/12</f>
        <v>0.91666666666666663</v>
      </c>
      <c r="L1283" s="215">
        <f>J1283</f>
        <v>81.188096405981611</v>
      </c>
      <c r="M1283" s="146"/>
      <c r="N1283" s="773"/>
      <c r="O1283" s="773" t="s">
        <v>562</v>
      </c>
    </row>
    <row r="1284" spans="1:15" ht="15.75" thickBot="1">
      <c r="A1284" s="139"/>
      <c r="B1284" s="140" t="s">
        <v>107</v>
      </c>
      <c r="C1284" s="141"/>
      <c r="D1284" s="31">
        <v>414960000</v>
      </c>
      <c r="E1284" s="114">
        <v>0</v>
      </c>
      <c r="F1284" s="30">
        <v>0</v>
      </c>
      <c r="G1284" s="351">
        <v>294256818</v>
      </c>
      <c r="H1284" s="214">
        <f>G1284/D1284*100</f>
        <v>70.912092249855405</v>
      </c>
      <c r="I1284" s="296">
        <f>G1284</f>
        <v>294256818</v>
      </c>
      <c r="J1284" s="217">
        <f>I1284/D1284*100</f>
        <v>70.912092249855405</v>
      </c>
      <c r="K1284" s="332">
        <f>11/12</f>
        <v>0.91666666666666663</v>
      </c>
      <c r="L1284" s="215">
        <f>J1284</f>
        <v>70.912092249855405</v>
      </c>
      <c r="M1284" s="149"/>
      <c r="N1284" s="161">
        <f>D1284-G1284</f>
        <v>120703182</v>
      </c>
    </row>
    <row r="1285" spans="1:15" ht="15.75" thickBot="1">
      <c r="A1285" s="35" t="s">
        <v>24</v>
      </c>
      <c r="B1285" s="36" t="s">
        <v>25</v>
      </c>
      <c r="C1285" s="37"/>
      <c r="D1285" s="30">
        <f>D1302+D1312+D1315+D1319+D1322+D1325+D1331+D1334+D1338+D1341+D1345+D1348+D1351+D1354+D1358+D1361+D1364+D1369+D1373+D1376+D1381+D1384+D1387+D1390</f>
        <v>914982040</v>
      </c>
      <c r="E1285" s="30">
        <v>0</v>
      </c>
      <c r="F1285" s="30">
        <v>0</v>
      </c>
      <c r="G1285" s="30">
        <f>G1302+G1312+G1341+G1345+G1361+G1364+G1351+G1354+G1358+G1373+G1325+G1338+G1369+G1322+G1319+G1348+G1334+G1331+G1376+G1387+G1381</f>
        <v>767402677</v>
      </c>
      <c r="H1285" s="215">
        <f>G1285/D1285*100</f>
        <v>83.870791278045203</v>
      </c>
      <c r="I1285" s="296">
        <f>G1285</f>
        <v>767402677</v>
      </c>
      <c r="J1285" s="217">
        <f>I1285/D1285*100</f>
        <v>83.870791278045203</v>
      </c>
      <c r="K1285" s="332">
        <f>11/12</f>
        <v>0.91666666666666663</v>
      </c>
      <c r="L1285" s="215">
        <f>J1285</f>
        <v>83.870791278045203</v>
      </c>
      <c r="M1285" s="30"/>
      <c r="N1285" s="161">
        <f>D1285-G1285</f>
        <v>147579363</v>
      </c>
    </row>
    <row r="1286" spans="1:15">
      <c r="A1286" s="41" t="s">
        <v>26</v>
      </c>
      <c r="B1286" s="42" t="s">
        <v>27</v>
      </c>
      <c r="C1286" s="43"/>
      <c r="D1286" s="32"/>
      <c r="E1286" s="115"/>
      <c r="F1286" s="32"/>
      <c r="G1286" s="150"/>
      <c r="H1286" s="151"/>
      <c r="I1286" s="191"/>
      <c r="J1286" s="150"/>
      <c r="K1286" s="32"/>
      <c r="L1286" s="32"/>
      <c r="M1286" s="32"/>
    </row>
    <row r="1287" spans="1:15">
      <c r="A1287" s="44"/>
      <c r="B1287" s="45" t="s">
        <v>26</v>
      </c>
      <c r="C1287" s="46" t="s">
        <v>28</v>
      </c>
      <c r="D1287" s="525">
        <v>6000000</v>
      </c>
      <c r="E1287" s="116">
        <v>0</v>
      </c>
      <c r="F1287" s="131">
        <v>0</v>
      </c>
      <c r="G1287" s="192">
        <f>999000+501000+250000+250000+250000+250000+249000+750000</f>
        <v>3499000</v>
      </c>
      <c r="H1287" s="299">
        <f>G1287/D1287*100</f>
        <v>58.31666666666667</v>
      </c>
      <c r="I1287" s="192">
        <f>G1287</f>
        <v>3499000</v>
      </c>
      <c r="J1287" s="301">
        <f>H1287</f>
        <v>58.31666666666667</v>
      </c>
      <c r="K1287" s="331">
        <f>11/12</f>
        <v>0.91666666666666663</v>
      </c>
      <c r="L1287" s="311">
        <f>J1287</f>
        <v>58.31666666666667</v>
      </c>
      <c r="M1287" s="131"/>
      <c r="O1287" s="774" t="s">
        <v>563</v>
      </c>
    </row>
    <row r="1288" spans="1:15">
      <c r="A1288" s="44"/>
      <c r="B1288" s="47" t="s">
        <v>29</v>
      </c>
      <c r="C1288" s="48" t="s">
        <v>30</v>
      </c>
      <c r="D1288" s="34">
        <v>4000000</v>
      </c>
      <c r="E1288" s="297">
        <v>0</v>
      </c>
      <c r="F1288" s="132">
        <v>0</v>
      </c>
      <c r="G1288" s="192">
        <v>2426553</v>
      </c>
      <c r="H1288" s="299">
        <f t="shared" ref="H1288:H1289" si="490">G1288/D1288*100</f>
        <v>60.663825000000003</v>
      </c>
      <c r="I1288" s="192">
        <f>G1288</f>
        <v>2426553</v>
      </c>
      <c r="J1288" s="301">
        <f>I1288/D1288*100</f>
        <v>60.663825000000003</v>
      </c>
      <c r="K1288" s="331">
        <f t="shared" ref="K1288:K1300" si="491">11/12</f>
        <v>0.91666666666666663</v>
      </c>
      <c r="L1288" s="311">
        <f t="shared" ref="L1288:L1301" si="492">J1288</f>
        <v>60.663825000000003</v>
      </c>
      <c r="M1288" s="132"/>
      <c r="O1288" s="773" t="s">
        <v>562</v>
      </c>
    </row>
    <row r="1289" spans="1:15">
      <c r="A1289" s="44"/>
      <c r="B1289" s="47" t="s">
        <v>29</v>
      </c>
      <c r="C1289" s="48" t="s">
        <v>31</v>
      </c>
      <c r="D1289" s="34">
        <v>5000000</v>
      </c>
      <c r="E1289" s="297">
        <v>0</v>
      </c>
      <c r="F1289" s="132">
        <v>0</v>
      </c>
      <c r="G1289" s="192">
        <v>2868400</v>
      </c>
      <c r="H1289" s="299">
        <f t="shared" si="490"/>
        <v>57.367999999999995</v>
      </c>
      <c r="I1289" s="192">
        <f t="shared" ref="I1289:I1290" si="493">G1289</f>
        <v>2868400</v>
      </c>
      <c r="J1289" s="301">
        <f t="shared" ref="J1289:J1298" si="494">I1289/D1289*100</f>
        <v>57.367999999999995</v>
      </c>
      <c r="K1289" s="331">
        <f t="shared" si="491"/>
        <v>0.91666666666666663</v>
      </c>
      <c r="L1289" s="311">
        <f t="shared" si="492"/>
        <v>57.367999999999995</v>
      </c>
      <c r="M1289" s="132"/>
    </row>
    <row r="1290" spans="1:15">
      <c r="A1290" s="44"/>
      <c r="B1290" s="47" t="s">
        <v>29</v>
      </c>
      <c r="C1290" s="48" t="s">
        <v>32</v>
      </c>
      <c r="D1290" s="34">
        <v>8000000</v>
      </c>
      <c r="E1290" s="297">
        <v>0</v>
      </c>
      <c r="F1290" s="132">
        <v>0</v>
      </c>
      <c r="G1290" s="192">
        <v>6053324</v>
      </c>
      <c r="H1290" s="299">
        <f>G1290/D1290*100</f>
        <v>75.666550000000001</v>
      </c>
      <c r="I1290" s="192">
        <f t="shared" si="493"/>
        <v>6053324</v>
      </c>
      <c r="J1290" s="301">
        <f t="shared" si="494"/>
        <v>75.666550000000001</v>
      </c>
      <c r="K1290" s="331">
        <f t="shared" si="491"/>
        <v>0.91666666666666663</v>
      </c>
      <c r="L1290" s="311">
        <f t="shared" si="492"/>
        <v>75.666550000000001</v>
      </c>
      <c r="M1290" s="132"/>
    </row>
    <row r="1291" spans="1:15">
      <c r="A1291" s="44"/>
      <c r="B1291" s="47" t="s">
        <v>33</v>
      </c>
      <c r="C1291" s="48" t="s">
        <v>34</v>
      </c>
      <c r="D1291" s="34">
        <v>12105000</v>
      </c>
      <c r="E1291" s="117">
        <v>0</v>
      </c>
      <c r="F1291" s="132">
        <v>0</v>
      </c>
      <c r="G1291" s="192">
        <v>10000000</v>
      </c>
      <c r="H1291" s="299">
        <f t="shared" ref="H1291:H1301" si="495">G1291/D1291*100</f>
        <v>82.610491532424618</v>
      </c>
      <c r="I1291" s="192">
        <f>G1291</f>
        <v>10000000</v>
      </c>
      <c r="J1291" s="301">
        <f t="shared" si="494"/>
        <v>82.610491532424618</v>
      </c>
      <c r="K1291" s="331">
        <f t="shared" si="491"/>
        <v>0.91666666666666663</v>
      </c>
      <c r="L1291" s="311">
        <f t="shared" si="492"/>
        <v>82.610491532424618</v>
      </c>
      <c r="M1291" s="132"/>
    </row>
    <row r="1292" spans="1:15">
      <c r="A1292" s="44"/>
      <c r="B1292" s="47">
        <v>10</v>
      </c>
      <c r="C1292" s="48" t="s">
        <v>35</v>
      </c>
      <c r="D1292" s="34">
        <v>11895000</v>
      </c>
      <c r="E1292" s="117">
        <v>0</v>
      </c>
      <c r="F1292" s="132">
        <v>0</v>
      </c>
      <c r="G1292" s="192">
        <f>1500000+1000000+1000000+2250000+1000000+750000+2900000</f>
        <v>10400000</v>
      </c>
      <c r="H1292" s="299">
        <f t="shared" si="495"/>
        <v>87.431693989071036</v>
      </c>
      <c r="I1292" s="192">
        <f t="shared" ref="I1292:I1295" si="496">G1292</f>
        <v>10400000</v>
      </c>
      <c r="J1292" s="301">
        <f t="shared" si="494"/>
        <v>87.431693989071036</v>
      </c>
      <c r="K1292" s="331">
        <f t="shared" si="491"/>
        <v>0.91666666666666663</v>
      </c>
      <c r="L1292" s="311">
        <f t="shared" si="492"/>
        <v>87.431693989071036</v>
      </c>
      <c r="M1292" s="132"/>
    </row>
    <row r="1293" spans="1:15">
      <c r="A1293" s="44"/>
      <c r="B1293" s="47">
        <v>11</v>
      </c>
      <c r="C1293" s="48" t="s">
        <v>36</v>
      </c>
      <c r="D1293" s="34">
        <v>6000000</v>
      </c>
      <c r="E1293" s="117">
        <v>0</v>
      </c>
      <c r="F1293" s="132">
        <v>0</v>
      </c>
      <c r="G1293" s="192">
        <f>1000000+500000+750000+1700000+200000+350000+500000</f>
        <v>5000000</v>
      </c>
      <c r="H1293" s="299">
        <f t="shared" si="495"/>
        <v>83.333333333333343</v>
      </c>
      <c r="I1293" s="192">
        <f t="shared" si="496"/>
        <v>5000000</v>
      </c>
      <c r="J1293" s="301">
        <f t="shared" si="494"/>
        <v>83.333333333333343</v>
      </c>
      <c r="K1293" s="331">
        <f t="shared" si="491"/>
        <v>0.91666666666666663</v>
      </c>
      <c r="L1293" s="311">
        <f t="shared" si="492"/>
        <v>83.333333333333343</v>
      </c>
      <c r="M1293" s="132"/>
    </row>
    <row r="1294" spans="1:15">
      <c r="A1294" s="44"/>
      <c r="B1294" s="47">
        <v>11</v>
      </c>
      <c r="C1294" s="48" t="s">
        <v>37</v>
      </c>
      <c r="D1294" s="34">
        <v>18000000</v>
      </c>
      <c r="E1294" s="117">
        <v>0</v>
      </c>
      <c r="F1294" s="132">
        <v>0</v>
      </c>
      <c r="G1294" s="192">
        <f>2525600+17850+34600+34000+2524800+370000+297800+11600000</f>
        <v>17404650</v>
      </c>
      <c r="H1294" s="299">
        <f t="shared" si="495"/>
        <v>96.69250000000001</v>
      </c>
      <c r="I1294" s="192">
        <f t="shared" si="496"/>
        <v>17404650</v>
      </c>
      <c r="J1294" s="301">
        <f t="shared" si="494"/>
        <v>96.69250000000001</v>
      </c>
      <c r="K1294" s="331">
        <f t="shared" si="491"/>
        <v>0.91666666666666663</v>
      </c>
      <c r="L1294" s="311">
        <f t="shared" si="492"/>
        <v>96.69250000000001</v>
      </c>
      <c r="M1294" s="132"/>
    </row>
    <row r="1295" spans="1:15">
      <c r="A1295" s="44"/>
      <c r="B1295" s="47">
        <v>12</v>
      </c>
      <c r="C1295" s="48" t="s">
        <v>38</v>
      </c>
      <c r="D1295" s="34">
        <v>5000000</v>
      </c>
      <c r="E1295" s="117">
        <v>0</v>
      </c>
      <c r="F1295" s="132">
        <v>0</v>
      </c>
      <c r="G1295" s="192">
        <v>4225000</v>
      </c>
      <c r="H1295" s="299">
        <f t="shared" si="495"/>
        <v>84.5</v>
      </c>
      <c r="I1295" s="192">
        <f t="shared" si="496"/>
        <v>4225000</v>
      </c>
      <c r="J1295" s="301">
        <f t="shared" si="494"/>
        <v>84.5</v>
      </c>
      <c r="K1295" s="331">
        <f t="shared" si="491"/>
        <v>0.91666666666666663</v>
      </c>
      <c r="L1295" s="311">
        <f t="shared" si="492"/>
        <v>84.5</v>
      </c>
      <c r="M1295" s="132"/>
    </row>
    <row r="1296" spans="1:15">
      <c r="A1296" s="44"/>
      <c r="B1296" s="47">
        <v>13</v>
      </c>
      <c r="C1296" s="48" t="s">
        <v>39</v>
      </c>
      <c r="D1296" s="34">
        <v>5000000</v>
      </c>
      <c r="E1296" s="117">
        <v>0</v>
      </c>
      <c r="F1296" s="132">
        <v>0</v>
      </c>
      <c r="G1296" s="192">
        <f>1000000+250000+500000+745000+750000+500000+700000</f>
        <v>4445000</v>
      </c>
      <c r="H1296" s="299">
        <f t="shared" si="495"/>
        <v>88.9</v>
      </c>
      <c r="I1296" s="192">
        <f>G1296</f>
        <v>4445000</v>
      </c>
      <c r="J1296" s="301">
        <f t="shared" si="494"/>
        <v>88.9</v>
      </c>
      <c r="K1296" s="331">
        <f t="shared" si="491"/>
        <v>0.91666666666666663</v>
      </c>
      <c r="L1296" s="311">
        <f t="shared" si="492"/>
        <v>88.9</v>
      </c>
      <c r="M1296" s="132"/>
    </row>
    <row r="1297" spans="1:14">
      <c r="A1297" s="44"/>
      <c r="B1297" s="47">
        <v>15</v>
      </c>
      <c r="C1297" s="48" t="s">
        <v>40</v>
      </c>
      <c r="D1297" s="34">
        <v>3000000</v>
      </c>
      <c r="E1297" s="117">
        <v>0</v>
      </c>
      <c r="F1297" s="132">
        <v>0</v>
      </c>
      <c r="G1297" s="192">
        <f>260000+140000+260000+140000+120000+120000+240000</f>
        <v>1280000</v>
      </c>
      <c r="H1297" s="299">
        <f t="shared" si="495"/>
        <v>42.666666666666671</v>
      </c>
      <c r="I1297" s="192">
        <f t="shared" ref="I1297:I1298" si="497">G1297</f>
        <v>1280000</v>
      </c>
      <c r="J1297" s="301">
        <f t="shared" si="494"/>
        <v>42.666666666666671</v>
      </c>
      <c r="K1297" s="331">
        <f t="shared" si="491"/>
        <v>0.91666666666666663</v>
      </c>
      <c r="L1297" s="311">
        <f t="shared" si="492"/>
        <v>42.666666666666671</v>
      </c>
      <c r="M1297" s="132"/>
    </row>
    <row r="1298" spans="1:14">
      <c r="A1298" s="44"/>
      <c r="B1298" s="47">
        <v>17</v>
      </c>
      <c r="C1298" s="48" t="s">
        <v>41</v>
      </c>
      <c r="D1298" s="34">
        <v>6249040</v>
      </c>
      <c r="E1298" s="117">
        <v>0</v>
      </c>
      <c r="F1298" s="132">
        <v>0</v>
      </c>
      <c r="G1298" s="192">
        <f>1000000+250000+750000+650000+900000+950000</f>
        <v>4500000</v>
      </c>
      <c r="H1298" s="299">
        <f t="shared" si="495"/>
        <v>72.011060898954085</v>
      </c>
      <c r="I1298" s="192">
        <f t="shared" si="497"/>
        <v>4500000</v>
      </c>
      <c r="J1298" s="301">
        <f t="shared" si="494"/>
        <v>72.011060898954085</v>
      </c>
      <c r="K1298" s="331">
        <f t="shared" si="491"/>
        <v>0.91666666666666663</v>
      </c>
      <c r="L1298" s="311">
        <f t="shared" si="492"/>
        <v>72.011060898954085</v>
      </c>
      <c r="M1298" s="132"/>
    </row>
    <row r="1299" spans="1:14">
      <c r="A1299" s="44"/>
      <c r="B1299" s="47">
        <v>17</v>
      </c>
      <c r="C1299" s="48" t="s">
        <v>42</v>
      </c>
      <c r="D1299" s="34">
        <v>9200000</v>
      </c>
      <c r="E1299" s="117">
        <v>0</v>
      </c>
      <c r="F1299" s="132">
        <v>0</v>
      </c>
      <c r="G1299" s="192">
        <f>1200000+400000+1800000+760000+760000+760000</f>
        <v>5680000</v>
      </c>
      <c r="H1299" s="299">
        <f t="shared" si="495"/>
        <v>61.739130434782609</v>
      </c>
      <c r="I1299" s="192">
        <f>G1299</f>
        <v>5680000</v>
      </c>
      <c r="J1299" s="301">
        <f>I1299/D1299*100</f>
        <v>61.739130434782609</v>
      </c>
      <c r="K1299" s="331">
        <f t="shared" si="491"/>
        <v>0.91666666666666663</v>
      </c>
      <c r="L1299" s="311">
        <f t="shared" si="492"/>
        <v>61.739130434782609</v>
      </c>
      <c r="M1299" s="132"/>
    </row>
    <row r="1300" spans="1:14">
      <c r="A1300" s="44"/>
      <c r="B1300" s="47">
        <v>18</v>
      </c>
      <c r="C1300" s="48" t="s">
        <v>43</v>
      </c>
      <c r="D1300" s="34">
        <v>20528000</v>
      </c>
      <c r="E1300" s="117">
        <v>0</v>
      </c>
      <c r="F1300" s="132">
        <v>0</v>
      </c>
      <c r="G1300" s="192">
        <v>12075000</v>
      </c>
      <c r="H1300" s="299">
        <f t="shared" si="495"/>
        <v>58.822096648480127</v>
      </c>
      <c r="I1300" s="192">
        <f>G1300</f>
        <v>12075000</v>
      </c>
      <c r="J1300" s="301">
        <f t="shared" ref="J1300:J1301" si="498">I1300/D1300*100</f>
        <v>58.822096648480127</v>
      </c>
      <c r="K1300" s="331">
        <f t="shared" si="491"/>
        <v>0.91666666666666663</v>
      </c>
      <c r="L1300" s="311">
        <f t="shared" si="492"/>
        <v>58.822096648480127</v>
      </c>
      <c r="M1300" s="132"/>
    </row>
    <row r="1301" spans="1:14" ht="15.75" thickBot="1">
      <c r="A1301" s="44"/>
      <c r="B1301" s="49">
        <v>19</v>
      </c>
      <c r="C1301" s="50" t="s">
        <v>44</v>
      </c>
      <c r="D1301" s="51">
        <v>57547000</v>
      </c>
      <c r="E1301" s="298"/>
      <c r="F1301" s="133">
        <v>0</v>
      </c>
      <c r="G1301" s="192">
        <f>37089000+4242000+7706000</f>
        <v>49037000</v>
      </c>
      <c r="H1301" s="300">
        <f t="shared" si="495"/>
        <v>85.212087511077911</v>
      </c>
      <c r="I1301" s="192">
        <f t="shared" ref="I1301" si="499">G1301</f>
        <v>49037000</v>
      </c>
      <c r="J1301" s="301">
        <f t="shared" si="498"/>
        <v>85.212087511077911</v>
      </c>
      <c r="K1301" s="331">
        <f>11/12</f>
        <v>0.91666666666666663</v>
      </c>
      <c r="L1301" s="311">
        <f t="shared" si="492"/>
        <v>85.212087511077911</v>
      </c>
      <c r="M1301" s="133"/>
      <c r="N1301" s="161">
        <f>D1301-G1301</f>
        <v>8510000</v>
      </c>
    </row>
    <row r="1302" spans="1:14" ht="15.75" thickBot="1">
      <c r="A1302" s="35"/>
      <c r="B1302" s="52"/>
      <c r="C1302" s="37" t="s">
        <v>45</v>
      </c>
      <c r="D1302" s="53">
        <f>SUM(D1287:D1301)</f>
        <v>177524040</v>
      </c>
      <c r="E1302" s="53">
        <f>SUM(E1287:E1301)</f>
        <v>0</v>
      </c>
      <c r="F1302" s="53">
        <f t="shared" ref="F1302" si="500">SUM(F1287:F1301)</f>
        <v>0</v>
      </c>
      <c r="G1302" s="53">
        <f>SUM(G1287:G1301)</f>
        <v>138893927</v>
      </c>
      <c r="H1302" s="214">
        <f>G1302/D1302*100</f>
        <v>78.239503224464698</v>
      </c>
      <c r="I1302" s="194">
        <f t="shared" ref="I1302" si="501">SUM(I1287:I1301)</f>
        <v>138893927</v>
      </c>
      <c r="J1302" s="214">
        <f>I1302/D1302*100</f>
        <v>78.239503224464698</v>
      </c>
      <c r="K1302" s="332">
        <f>11/12</f>
        <v>0.91666666666666663</v>
      </c>
      <c r="L1302" s="214">
        <f>J1302</f>
        <v>78.239503224464698</v>
      </c>
      <c r="M1302" s="746"/>
    </row>
    <row r="1303" spans="1:14">
      <c r="A1303" s="54" t="s">
        <v>29</v>
      </c>
      <c r="B1303" s="55" t="s">
        <v>90</v>
      </c>
      <c r="C1303" s="56"/>
      <c r="D1303" s="57"/>
      <c r="E1303" s="119"/>
      <c r="F1303" s="131"/>
      <c r="G1303" s="152"/>
      <c r="H1303" s="152"/>
      <c r="I1303" s="119"/>
      <c r="J1303" s="152"/>
      <c r="K1303" s="152"/>
      <c r="L1303" s="152"/>
      <c r="M1303" s="131"/>
    </row>
    <row r="1304" spans="1:14">
      <c r="A1304" s="279"/>
      <c r="B1304" s="47" t="s">
        <v>53</v>
      </c>
      <c r="C1304" s="46" t="s">
        <v>216</v>
      </c>
      <c r="D1304" s="80">
        <v>40000000</v>
      </c>
      <c r="E1304" s="119"/>
      <c r="F1304" s="131"/>
      <c r="G1304" s="152">
        <v>40000000</v>
      </c>
      <c r="H1304" s="299">
        <f t="shared" ref="H1304:H1308" si="502">G1304/D1304*100</f>
        <v>100</v>
      </c>
      <c r="I1304" s="119">
        <f>G1304</f>
        <v>40000000</v>
      </c>
      <c r="J1304" s="301">
        <f t="shared" ref="J1304:J1308" si="503">I1304/D1304*100</f>
        <v>100</v>
      </c>
      <c r="K1304" s="331">
        <f>11/12</f>
        <v>0.91666666666666663</v>
      </c>
      <c r="L1304" s="311">
        <f t="shared" ref="L1304" si="504">J1304</f>
        <v>100</v>
      </c>
      <c r="M1304" s="131"/>
    </row>
    <row r="1305" spans="1:14">
      <c r="A1305" s="44"/>
      <c r="B1305" s="47" t="s">
        <v>46</v>
      </c>
      <c r="C1305" s="58" t="s">
        <v>110</v>
      </c>
      <c r="D1305" s="59">
        <v>19000000</v>
      </c>
      <c r="E1305" s="120">
        <v>0</v>
      </c>
      <c r="F1305" s="132">
        <v>0</v>
      </c>
      <c r="G1305" s="119">
        <v>14475000</v>
      </c>
      <c r="H1305" s="299">
        <f t="shared" si="502"/>
        <v>76.18421052631578</v>
      </c>
      <c r="I1305" s="119">
        <f>G1305</f>
        <v>14475000</v>
      </c>
      <c r="J1305" s="301">
        <f t="shared" si="503"/>
        <v>76.18421052631578</v>
      </c>
      <c r="K1305" s="331">
        <f t="shared" ref="K1305:K1310" si="505">11/12</f>
        <v>0.91666666666666663</v>
      </c>
      <c r="L1305" s="311">
        <f>J1305</f>
        <v>76.18421052631578</v>
      </c>
      <c r="M1305" s="132"/>
    </row>
    <row r="1306" spans="1:14">
      <c r="A1306" s="44"/>
      <c r="B1306" s="47">
        <v>21</v>
      </c>
      <c r="C1306" s="48" t="s">
        <v>47</v>
      </c>
      <c r="D1306" s="59">
        <v>30000000</v>
      </c>
      <c r="E1306" s="120">
        <v>0</v>
      </c>
      <c r="F1306" s="132">
        <v>0</v>
      </c>
      <c r="G1306" s="206">
        <v>30000000</v>
      </c>
      <c r="H1306" s="299">
        <f t="shared" si="502"/>
        <v>100</v>
      </c>
      <c r="I1306" s="119">
        <f t="shared" ref="I1306:I1307" si="506">G1306</f>
        <v>30000000</v>
      </c>
      <c r="J1306" s="301">
        <f t="shared" si="503"/>
        <v>100</v>
      </c>
      <c r="K1306" s="331">
        <f t="shared" si="505"/>
        <v>0.91666666666666663</v>
      </c>
      <c r="L1306" s="311">
        <f>J1306</f>
        <v>100</v>
      </c>
      <c r="M1306" s="132"/>
    </row>
    <row r="1307" spans="1:14">
      <c r="A1307" s="44"/>
      <c r="B1307" s="47">
        <v>22</v>
      </c>
      <c r="C1307" s="48" t="s">
        <v>48</v>
      </c>
      <c r="D1307" s="60">
        <v>33000000</v>
      </c>
      <c r="E1307" s="120">
        <v>0</v>
      </c>
      <c r="F1307" s="132">
        <v>0</v>
      </c>
      <c r="G1307" s="206">
        <v>30000000</v>
      </c>
      <c r="H1307" s="299">
        <f t="shared" si="502"/>
        <v>90.909090909090907</v>
      </c>
      <c r="I1307" s="119">
        <f t="shared" si="506"/>
        <v>30000000</v>
      </c>
      <c r="J1307" s="301">
        <f t="shared" si="503"/>
        <v>90.909090909090907</v>
      </c>
      <c r="K1307" s="331">
        <f t="shared" si="505"/>
        <v>0.91666666666666663</v>
      </c>
      <c r="L1307" s="311">
        <f t="shared" ref="L1307" si="507">J1307</f>
        <v>90.909090909090907</v>
      </c>
      <c r="M1307" s="154"/>
    </row>
    <row r="1308" spans="1:14">
      <c r="A1308" s="44"/>
      <c r="B1308" s="47">
        <v>24</v>
      </c>
      <c r="C1308" s="48" t="s">
        <v>49</v>
      </c>
      <c r="D1308" s="60">
        <v>36000000</v>
      </c>
      <c r="E1308" s="120">
        <v>0</v>
      </c>
      <c r="F1308" s="132">
        <v>0</v>
      </c>
      <c r="G1308" s="206">
        <f>6051250+1700000+2418000+4557000+2750000+2922500+4902000</f>
        <v>25300750</v>
      </c>
      <c r="H1308" s="299">
        <f t="shared" si="502"/>
        <v>70.279861111111103</v>
      </c>
      <c r="I1308" s="192">
        <f>G1308</f>
        <v>25300750</v>
      </c>
      <c r="J1308" s="301">
        <f t="shared" si="503"/>
        <v>70.279861111111103</v>
      </c>
      <c r="K1308" s="331">
        <f t="shared" si="505"/>
        <v>0.91666666666666663</v>
      </c>
      <c r="L1308" s="311">
        <f>J1308</f>
        <v>70.279861111111103</v>
      </c>
      <c r="M1308" s="132"/>
    </row>
    <row r="1309" spans="1:14">
      <c r="A1309" s="44"/>
      <c r="B1309" s="47">
        <v>26</v>
      </c>
      <c r="C1309" s="48" t="s">
        <v>50</v>
      </c>
      <c r="D1309" s="60">
        <v>4000000</v>
      </c>
      <c r="E1309" s="120">
        <v>0</v>
      </c>
      <c r="F1309" s="132">
        <v>0</v>
      </c>
      <c r="G1309" s="206">
        <v>3500000</v>
      </c>
      <c r="H1309" s="299">
        <f>G1309/D1309*100</f>
        <v>87.5</v>
      </c>
      <c r="I1309" s="192">
        <f>G1309</f>
        <v>3500000</v>
      </c>
      <c r="J1309" s="301">
        <f>I1309/D1309*100</f>
        <v>87.5</v>
      </c>
      <c r="K1309" s="331">
        <f t="shared" si="505"/>
        <v>0.91666666666666663</v>
      </c>
      <c r="L1309" s="311">
        <f t="shared" ref="L1309:L1311" si="508">J1309</f>
        <v>87.5</v>
      </c>
      <c r="M1309" s="132"/>
    </row>
    <row r="1310" spans="1:14">
      <c r="A1310" s="44"/>
      <c r="B1310" s="47">
        <v>28</v>
      </c>
      <c r="C1310" s="48" t="s">
        <v>51</v>
      </c>
      <c r="D1310" s="60">
        <v>12000000</v>
      </c>
      <c r="E1310" s="120">
        <v>0</v>
      </c>
      <c r="F1310" s="132">
        <v>0</v>
      </c>
      <c r="G1310" s="206">
        <f>300000+300000+2250000+1000000+400000+1250000+500000+750000+200000+950000+2250000</f>
        <v>10150000</v>
      </c>
      <c r="H1310" s="299">
        <f t="shared" ref="H1310" si="509">G1310/D1310*100</f>
        <v>84.583333333333329</v>
      </c>
      <c r="I1310" s="192">
        <f>G1310</f>
        <v>10150000</v>
      </c>
      <c r="J1310" s="301">
        <f>I1310/D1310*100</f>
        <v>84.583333333333329</v>
      </c>
      <c r="K1310" s="331">
        <f t="shared" si="505"/>
        <v>0.91666666666666663</v>
      </c>
      <c r="L1310" s="311">
        <f t="shared" si="508"/>
        <v>84.583333333333329</v>
      </c>
      <c r="M1310" s="132"/>
    </row>
    <row r="1311" spans="1:14">
      <c r="A1311" s="44"/>
      <c r="B1311" s="61">
        <v>29</v>
      </c>
      <c r="C1311" s="50" t="s">
        <v>52</v>
      </c>
      <c r="D1311" s="62">
        <v>2000000</v>
      </c>
      <c r="E1311" s="121">
        <v>0</v>
      </c>
      <c r="F1311" s="133">
        <v>0</v>
      </c>
      <c r="G1311" s="197">
        <f>200000+100000+390000+350000+460000</f>
        <v>1500000</v>
      </c>
      <c r="H1311" s="312">
        <f>G1311/D1311*100</f>
        <v>75</v>
      </c>
      <c r="I1311" s="313">
        <f t="shared" ref="I1311" si="510">G1311</f>
        <v>1500000</v>
      </c>
      <c r="J1311" s="314">
        <f t="shared" ref="J1311" si="511">I1311/D1311*100</f>
        <v>75</v>
      </c>
      <c r="K1311" s="331">
        <f>11/12</f>
        <v>0.91666666666666663</v>
      </c>
      <c r="L1311" s="311">
        <f t="shared" si="508"/>
        <v>75</v>
      </c>
      <c r="M1311" s="133"/>
    </row>
    <row r="1312" spans="1:14">
      <c r="A1312" s="63"/>
      <c r="B1312" s="64"/>
      <c r="C1312" s="65" t="s">
        <v>45</v>
      </c>
      <c r="D1312" s="66">
        <f>SUM(D1304:D1311)</f>
        <v>176000000</v>
      </c>
      <c r="E1312" s="122"/>
      <c r="F1312" s="66"/>
      <c r="G1312" s="285">
        <f>SUM(G1304:G1311)</f>
        <v>154925750</v>
      </c>
      <c r="H1312" s="323">
        <f>G1312/D1312*100</f>
        <v>88.025994318181816</v>
      </c>
      <c r="I1312" s="286">
        <f>SUM(I1304:I1311)</f>
        <v>154925750</v>
      </c>
      <c r="J1312" s="323">
        <f>I1312/D1312*100</f>
        <v>88.025994318181816</v>
      </c>
      <c r="K1312" s="333">
        <f>11/12</f>
        <v>0.91666666666666663</v>
      </c>
      <c r="L1312" s="302">
        <f>J1312</f>
        <v>88.025994318181816</v>
      </c>
      <c r="M1312" s="748"/>
    </row>
    <row r="1313" spans="1:13">
      <c r="A1313" s="67" t="s">
        <v>53</v>
      </c>
      <c r="B1313" s="68" t="s">
        <v>54</v>
      </c>
      <c r="C1313" s="69"/>
      <c r="D1313" s="70"/>
      <c r="E1313" s="123"/>
      <c r="F1313" s="134"/>
      <c r="G1313" s="164"/>
      <c r="H1313" s="148"/>
      <c r="I1313" s="164"/>
      <c r="J1313" s="152"/>
      <c r="K1313" s="152"/>
      <c r="L1313" s="156"/>
      <c r="M1313" s="134"/>
    </row>
    <row r="1314" spans="1:13">
      <c r="A1314" s="44"/>
      <c r="B1314" s="47" t="s">
        <v>26</v>
      </c>
      <c r="C1314" s="48" t="s">
        <v>55</v>
      </c>
      <c r="D1314" s="60">
        <v>15000000</v>
      </c>
      <c r="E1314" s="120">
        <v>0</v>
      </c>
      <c r="F1314" s="208">
        <v>0</v>
      </c>
      <c r="G1314" s="197" t="s">
        <v>132</v>
      </c>
      <c r="H1314" s="59" t="s">
        <v>132</v>
      </c>
      <c r="I1314" s="197" t="s">
        <v>132</v>
      </c>
      <c r="J1314" s="59" t="s">
        <v>132</v>
      </c>
      <c r="K1314" s="59">
        <v>0</v>
      </c>
      <c r="L1314" s="59">
        <v>0</v>
      </c>
      <c r="M1314" s="132"/>
    </row>
    <row r="1315" spans="1:13">
      <c r="A1315" s="63"/>
      <c r="B1315" s="71"/>
      <c r="C1315" s="65" t="s">
        <v>45</v>
      </c>
      <c r="D1315" s="66">
        <f>SUM(D1314:D1314)</f>
        <v>15000000</v>
      </c>
      <c r="E1315" s="122">
        <f>SUM(E1314:E1314)</f>
        <v>0</v>
      </c>
      <c r="F1315" s="202">
        <f>SUM(F1314:F1314)</f>
        <v>0</v>
      </c>
      <c r="G1315" s="122" t="s">
        <v>132</v>
      </c>
      <c r="H1315" s="66" t="s">
        <v>132</v>
      </c>
      <c r="I1315" s="122" t="s">
        <v>132</v>
      </c>
      <c r="J1315" s="155" t="s">
        <v>132</v>
      </c>
      <c r="K1315" s="66">
        <f>SUM(K1314:K1314)</f>
        <v>0</v>
      </c>
      <c r="L1315" s="66">
        <f>SUM(L1314:L1314)</f>
        <v>0</v>
      </c>
      <c r="M1315" s="748"/>
    </row>
    <row r="1316" spans="1:13">
      <c r="A1316" s="44">
        <v>15</v>
      </c>
      <c r="B1316" s="72" t="s">
        <v>61</v>
      </c>
      <c r="C1316" s="73"/>
      <c r="D1316" s="57"/>
      <c r="E1316" s="119"/>
      <c r="F1316" s="209"/>
      <c r="G1316" s="119" t="s">
        <v>132</v>
      </c>
      <c r="H1316" s="152" t="s">
        <v>132</v>
      </c>
      <c r="I1316" s="119" t="s">
        <v>132</v>
      </c>
      <c r="J1316" s="152" t="s">
        <v>132</v>
      </c>
      <c r="K1316" s="152"/>
      <c r="L1316" s="152"/>
      <c r="M1316" s="131"/>
    </row>
    <row r="1317" spans="1:13">
      <c r="A1317" s="44"/>
      <c r="B1317" s="47">
        <v>18</v>
      </c>
      <c r="C1317" s="48" t="s">
        <v>62</v>
      </c>
      <c r="D1317" s="60">
        <v>5000000</v>
      </c>
      <c r="E1317" s="120">
        <v>0</v>
      </c>
      <c r="F1317" s="208">
        <v>0</v>
      </c>
      <c r="G1317" s="120">
        <v>5000000</v>
      </c>
      <c r="H1317" s="299">
        <f t="shared" ref="H1317:H1318" si="512">G1317/D1317*100</f>
        <v>100</v>
      </c>
      <c r="I1317" s="120">
        <f>G1317</f>
        <v>5000000</v>
      </c>
      <c r="J1317" s="301">
        <f>I1317/D1317*100</f>
        <v>100</v>
      </c>
      <c r="K1317" s="331">
        <f>11/12</f>
        <v>0.91666666666666663</v>
      </c>
      <c r="L1317" s="301">
        <f>J1317</f>
        <v>100</v>
      </c>
      <c r="M1317" s="132"/>
    </row>
    <row r="1318" spans="1:13" ht="25.5">
      <c r="A1318" s="44"/>
      <c r="B1318" s="49">
        <v>63</v>
      </c>
      <c r="C1318" s="244" t="s">
        <v>63</v>
      </c>
      <c r="D1318" s="62">
        <v>5000000</v>
      </c>
      <c r="E1318" s="121">
        <v>0</v>
      </c>
      <c r="F1318" s="210">
        <v>0</v>
      </c>
      <c r="G1318" s="121">
        <v>5000000</v>
      </c>
      <c r="H1318" s="300">
        <f t="shared" si="512"/>
        <v>100</v>
      </c>
      <c r="I1318" s="120">
        <f>G1318</f>
        <v>5000000</v>
      </c>
      <c r="J1318" s="314">
        <f>I1318/D1318*100</f>
        <v>100</v>
      </c>
      <c r="K1318" s="331">
        <f>11/12</f>
        <v>0.91666666666666663</v>
      </c>
      <c r="L1318" s="528">
        <f>J1318</f>
        <v>100</v>
      </c>
      <c r="M1318" s="133"/>
    </row>
    <row r="1319" spans="1:13">
      <c r="A1319" s="63"/>
      <c r="B1319" s="64"/>
      <c r="C1319" s="65" t="s">
        <v>45</v>
      </c>
      <c r="D1319" s="66">
        <f>SUM(D1317:D1318)</f>
        <v>10000000</v>
      </c>
      <c r="E1319" s="122">
        <f t="shared" ref="E1319" si="513">SUM(E1317:E1318)</f>
        <v>0</v>
      </c>
      <c r="F1319" s="202">
        <f>SUM(F1317:F1318)</f>
        <v>0</v>
      </c>
      <c r="G1319" s="195">
        <f>SUM(G1317:G1318)</f>
        <v>10000000</v>
      </c>
      <c r="H1319" s="302">
        <f>G1319/D1319*100</f>
        <v>100</v>
      </c>
      <c r="I1319" s="195">
        <f>SUM(I1317:I1318)</f>
        <v>10000000</v>
      </c>
      <c r="J1319" s="323">
        <f>I1319/D1319*100</f>
        <v>100</v>
      </c>
      <c r="K1319" s="356">
        <f>K1318</f>
        <v>0.91666666666666663</v>
      </c>
      <c r="L1319" s="302">
        <f>J1319</f>
        <v>100</v>
      </c>
      <c r="M1319" s="66"/>
    </row>
    <row r="1320" spans="1:13">
      <c r="A1320" s="44">
        <v>30</v>
      </c>
      <c r="B1320" s="77" t="s">
        <v>64</v>
      </c>
      <c r="C1320" s="78"/>
      <c r="D1320" s="57"/>
      <c r="E1320" s="119"/>
      <c r="F1320" s="209"/>
      <c r="G1320" s="119"/>
      <c r="H1320" s="152"/>
      <c r="I1320" s="119"/>
      <c r="J1320" s="152"/>
      <c r="K1320" s="152"/>
      <c r="L1320" s="311"/>
      <c r="M1320" s="131"/>
    </row>
    <row r="1321" spans="1:13">
      <c r="A1321" s="44"/>
      <c r="B1321" s="45">
        <v>2</v>
      </c>
      <c r="C1321" s="79" t="s">
        <v>102</v>
      </c>
      <c r="D1321" s="80">
        <v>199258000</v>
      </c>
      <c r="E1321" s="124">
        <v>0</v>
      </c>
      <c r="F1321" s="209">
        <v>0</v>
      </c>
      <c r="G1321" s="124">
        <v>199258000</v>
      </c>
      <c r="H1321" s="312">
        <f t="shared" ref="H1321" si="514">G1321/D1321*100</f>
        <v>100</v>
      </c>
      <c r="I1321" s="120">
        <f>G1321</f>
        <v>199258000</v>
      </c>
      <c r="J1321" s="314">
        <f>I1321/D1321*100</f>
        <v>100</v>
      </c>
      <c r="K1321" s="331">
        <f>11/12</f>
        <v>0.91666666666666663</v>
      </c>
      <c r="L1321" s="311">
        <f>J1321</f>
        <v>100</v>
      </c>
      <c r="M1321" s="131"/>
    </row>
    <row r="1322" spans="1:13">
      <c r="A1322" s="63"/>
      <c r="B1322" s="64"/>
      <c r="C1322" s="65" t="s">
        <v>45</v>
      </c>
      <c r="D1322" s="66">
        <f>SUM(D1320:D1321)</f>
        <v>199258000</v>
      </c>
      <c r="E1322" s="66">
        <f>SUM(E1320:E1321)</f>
        <v>0</v>
      </c>
      <c r="F1322" s="202">
        <f>SUM(F1320:F1321)</f>
        <v>0</v>
      </c>
      <c r="G1322" s="122">
        <f>SUM(G1321)</f>
        <v>199258000</v>
      </c>
      <c r="H1322" s="323">
        <f>G1322/D1322*100</f>
        <v>100</v>
      </c>
      <c r="I1322" s="122">
        <f>SUM(I1321)</f>
        <v>199258000</v>
      </c>
      <c r="J1322" s="323">
        <f>I1322/D1322*100</f>
        <v>100</v>
      </c>
      <c r="K1322" s="356">
        <f>K1321</f>
        <v>0.91666666666666663</v>
      </c>
      <c r="L1322" s="302">
        <f>J1322</f>
        <v>100</v>
      </c>
      <c r="M1322" s="66"/>
    </row>
    <row r="1323" spans="1:13">
      <c r="A1323" s="44">
        <v>21</v>
      </c>
      <c r="B1323" s="81" t="s">
        <v>65</v>
      </c>
      <c r="C1323" s="82"/>
      <c r="D1323" s="57"/>
      <c r="E1323" s="119"/>
      <c r="F1323" s="209"/>
      <c r="G1323" s="119"/>
      <c r="H1323" s="152"/>
      <c r="I1323" s="119"/>
      <c r="J1323" s="152"/>
      <c r="K1323" s="152"/>
      <c r="L1323" s="311"/>
      <c r="M1323" s="131"/>
    </row>
    <row r="1324" spans="1:13">
      <c r="A1324" s="44"/>
      <c r="B1324" s="47" t="s">
        <v>46</v>
      </c>
      <c r="C1324" s="48" t="s">
        <v>66</v>
      </c>
      <c r="D1324" s="60">
        <v>20000000</v>
      </c>
      <c r="E1324" s="125">
        <v>0</v>
      </c>
      <c r="F1324" s="211">
        <v>0</v>
      </c>
      <c r="G1324" s="199">
        <v>20000000</v>
      </c>
      <c r="H1324" s="312">
        <f>G1324/D1324*100</f>
        <v>100</v>
      </c>
      <c r="I1324" s="197">
        <f>G1324</f>
        <v>20000000</v>
      </c>
      <c r="J1324" s="301">
        <f>H1324</f>
        <v>100</v>
      </c>
      <c r="K1324" s="331">
        <f>11/12</f>
        <v>0.91666666666666663</v>
      </c>
      <c r="L1324" s="301">
        <f>J1324</f>
        <v>100</v>
      </c>
      <c r="M1324" s="132"/>
    </row>
    <row r="1325" spans="1:13">
      <c r="A1325" s="63"/>
      <c r="B1325" s="83"/>
      <c r="C1325" s="65" t="s">
        <v>45</v>
      </c>
      <c r="D1325" s="66">
        <f>SUM(D1324:D1324)</f>
        <v>20000000</v>
      </c>
      <c r="E1325" s="66">
        <f t="shared" ref="E1325:F1325" si="515">SUM(E1322:E1324)</f>
        <v>0</v>
      </c>
      <c r="F1325" s="202">
        <f t="shared" si="515"/>
        <v>0</v>
      </c>
      <c r="G1325" s="122">
        <f>SUM(G1324)</f>
        <v>20000000</v>
      </c>
      <c r="H1325" s="323">
        <f>G1325/D1325*100</f>
        <v>100</v>
      </c>
      <c r="I1325" s="122">
        <f>SUM(I1324)</f>
        <v>20000000</v>
      </c>
      <c r="J1325" s="302">
        <f>H1325</f>
        <v>100</v>
      </c>
      <c r="K1325" s="356">
        <f>K1324</f>
        <v>0.91666666666666663</v>
      </c>
      <c r="L1325" s="302">
        <f>SUM(L1324)</f>
        <v>100</v>
      </c>
      <c r="M1325" s="66"/>
    </row>
    <row r="1326" spans="1:13">
      <c r="A1326" s="84">
        <v>18</v>
      </c>
      <c r="B1326" s="826" t="s">
        <v>96</v>
      </c>
      <c r="C1326" s="827"/>
      <c r="D1326" s="57"/>
      <c r="E1326" s="119"/>
      <c r="F1326" s="209"/>
      <c r="G1326" s="119"/>
      <c r="H1326" s="152"/>
      <c r="I1326" s="119"/>
      <c r="J1326" s="152"/>
      <c r="K1326" s="152"/>
      <c r="L1326" s="152"/>
      <c r="M1326" s="131"/>
    </row>
    <row r="1327" spans="1:13">
      <c r="A1327" s="84"/>
      <c r="B1327" s="830" t="s">
        <v>95</v>
      </c>
      <c r="C1327" s="831"/>
      <c r="D1327" s="57"/>
      <c r="E1327" s="124"/>
      <c r="F1327" s="209"/>
      <c r="G1327" s="119"/>
      <c r="H1327" s="152"/>
      <c r="I1327" s="119"/>
      <c r="J1327" s="152"/>
      <c r="K1327" s="152"/>
      <c r="L1327" s="152"/>
      <c r="M1327" s="131"/>
    </row>
    <row r="1328" spans="1:13">
      <c r="A1328" s="44"/>
      <c r="B1328" s="47" t="s">
        <v>26</v>
      </c>
      <c r="C1328" s="48" t="s">
        <v>67</v>
      </c>
      <c r="D1328" s="60">
        <v>25000000</v>
      </c>
      <c r="E1328" s="125">
        <v>0</v>
      </c>
      <c r="F1328" s="211">
        <v>0</v>
      </c>
      <c r="G1328" s="199">
        <v>20000000</v>
      </c>
      <c r="H1328" s="299">
        <f>G1328/D1328*100</f>
        <v>80</v>
      </c>
      <c r="I1328" s="119">
        <f t="shared" ref="I1328" si="516">G1328</f>
        <v>20000000</v>
      </c>
      <c r="J1328" s="301">
        <f>H1328</f>
        <v>80</v>
      </c>
      <c r="K1328" s="331">
        <f>11/12</f>
        <v>0.91666666666666663</v>
      </c>
      <c r="L1328" s="301">
        <f>J1328</f>
        <v>80</v>
      </c>
      <c r="M1328" s="132"/>
    </row>
    <row r="1329" spans="1:13">
      <c r="A1329" s="44"/>
      <c r="B1329" s="47" t="s">
        <v>29</v>
      </c>
      <c r="C1329" s="204" t="s">
        <v>220</v>
      </c>
      <c r="D1329" s="179">
        <v>0</v>
      </c>
      <c r="E1329" s="180">
        <v>0</v>
      </c>
      <c r="F1329" s="181">
        <v>0</v>
      </c>
      <c r="G1329" s="207">
        <v>0</v>
      </c>
      <c r="H1329" s="148" t="s">
        <v>132</v>
      </c>
      <c r="I1329" s="119">
        <v>0</v>
      </c>
      <c r="J1329" s="148" t="s">
        <v>132</v>
      </c>
      <c r="K1329" s="59">
        <v>0</v>
      </c>
      <c r="L1329" s="741">
        <v>0</v>
      </c>
      <c r="M1329" s="165"/>
    </row>
    <row r="1330" spans="1:13">
      <c r="A1330" s="44"/>
      <c r="B1330" s="47"/>
      <c r="C1330" s="48" t="s">
        <v>117</v>
      </c>
      <c r="D1330" s="60"/>
      <c r="E1330" s="125"/>
      <c r="F1330" s="135"/>
      <c r="G1330" s="199"/>
      <c r="H1330" s="157"/>
      <c r="I1330" s="197"/>
      <c r="J1330" s="59"/>
      <c r="K1330" s="153"/>
      <c r="L1330" s="301"/>
      <c r="M1330" s="132"/>
    </row>
    <row r="1331" spans="1:13">
      <c r="A1331" s="63"/>
      <c r="B1331" s="71"/>
      <c r="C1331" s="65" t="s">
        <v>45</v>
      </c>
      <c r="D1331" s="66">
        <f>SUM(D1328:D1330)</f>
        <v>25000000</v>
      </c>
      <c r="E1331" s="66">
        <f t="shared" ref="E1331" si="517">SUM(E1328:E1328)</f>
        <v>0</v>
      </c>
      <c r="F1331" s="66">
        <f>SUM(F1328:F1328)</f>
        <v>0</v>
      </c>
      <c r="G1331" s="122">
        <f>SUM(G1328:G1330)</f>
        <v>20000000</v>
      </c>
      <c r="H1331" s="323">
        <f>G1331/D1331*100</f>
        <v>80</v>
      </c>
      <c r="I1331" s="122">
        <f>SUM(I1328:I1330)</f>
        <v>20000000</v>
      </c>
      <c r="J1331" s="302">
        <f>H1331</f>
        <v>80</v>
      </c>
      <c r="K1331" s="350">
        <f>11/12</f>
        <v>0.91666666666666663</v>
      </c>
      <c r="L1331" s="302">
        <f t="shared" ref="L1331" si="518">SUM(L1328:L1328)</f>
        <v>80</v>
      </c>
      <c r="M1331" s="748"/>
    </row>
    <row r="1332" spans="1:13">
      <c r="A1332" s="84">
        <v>17</v>
      </c>
      <c r="B1332" s="826" t="s">
        <v>130</v>
      </c>
      <c r="C1332" s="827"/>
      <c r="D1332" s="57"/>
      <c r="E1332" s="119"/>
      <c r="F1332" s="131"/>
      <c r="G1332" s="119"/>
      <c r="H1332" s="152"/>
      <c r="I1332" s="119"/>
      <c r="J1332" s="152"/>
      <c r="K1332" s="152"/>
      <c r="L1332" s="152"/>
      <c r="M1332" s="131"/>
    </row>
    <row r="1333" spans="1:13">
      <c r="A1333" s="44"/>
      <c r="B1333" s="47" t="s">
        <v>53</v>
      </c>
      <c r="C1333" s="48" t="s">
        <v>131</v>
      </c>
      <c r="D1333" s="60">
        <v>19000000</v>
      </c>
      <c r="E1333" s="125">
        <v>0</v>
      </c>
      <c r="F1333" s="135">
        <v>0</v>
      </c>
      <c r="G1333" s="197">
        <v>19000000</v>
      </c>
      <c r="H1333" s="312">
        <f>G1333/D1333*100</f>
        <v>100</v>
      </c>
      <c r="I1333" s="197">
        <f>G1333</f>
        <v>19000000</v>
      </c>
      <c r="J1333" s="301">
        <f>H1333</f>
        <v>100</v>
      </c>
      <c r="K1333" s="331">
        <f>11/12</f>
        <v>0.91666666666666663</v>
      </c>
      <c r="L1333" s="301">
        <f>J1333</f>
        <v>100</v>
      </c>
      <c r="M1333" s="132"/>
    </row>
    <row r="1334" spans="1:13">
      <c r="A1334" s="63"/>
      <c r="B1334" s="64"/>
      <c r="C1334" s="65" t="s">
        <v>45</v>
      </c>
      <c r="D1334" s="66">
        <f>SUM(D1333:D1333)</f>
        <v>19000000</v>
      </c>
      <c r="E1334" s="66">
        <f t="shared" ref="E1334:F1334" si="519">SUM(E1332:E1333)</f>
        <v>0</v>
      </c>
      <c r="F1334" s="66">
        <f t="shared" si="519"/>
        <v>0</v>
      </c>
      <c r="G1334" s="122">
        <f>SUM(G1333)</f>
        <v>19000000</v>
      </c>
      <c r="H1334" s="323">
        <f>G1334/D1334*100</f>
        <v>100</v>
      </c>
      <c r="I1334" s="122">
        <f>SUM(I1333)</f>
        <v>19000000</v>
      </c>
      <c r="J1334" s="302">
        <f>H1334</f>
        <v>100</v>
      </c>
      <c r="K1334" s="356">
        <f>K1333</f>
        <v>0.91666666666666663</v>
      </c>
      <c r="L1334" s="302">
        <f t="shared" ref="L1334" si="520">SUM(L1332:L1333)</f>
        <v>100</v>
      </c>
      <c r="M1334" s="66"/>
    </row>
    <row r="1335" spans="1:13">
      <c r="A1335" s="44">
        <v>15</v>
      </c>
      <c r="B1335" s="744" t="s">
        <v>68</v>
      </c>
      <c r="C1335" s="86"/>
      <c r="D1335" s="57"/>
      <c r="E1335" s="119"/>
      <c r="F1335" s="131"/>
      <c r="G1335" s="119"/>
      <c r="H1335" s="152"/>
      <c r="I1335" s="119"/>
      <c r="J1335" s="152"/>
      <c r="K1335" s="152"/>
      <c r="L1335" s="152"/>
      <c r="M1335" s="131"/>
    </row>
    <row r="1336" spans="1:13" ht="26.25">
      <c r="A1336" s="44"/>
      <c r="B1336" s="49" t="s">
        <v>80</v>
      </c>
      <c r="C1336" s="50" t="s">
        <v>118</v>
      </c>
      <c r="D1336" s="62">
        <v>7500000</v>
      </c>
      <c r="E1336" s="125">
        <v>0</v>
      </c>
      <c r="F1336" s="135">
        <v>0</v>
      </c>
      <c r="G1336" s="119" t="s">
        <v>132</v>
      </c>
      <c r="H1336" s="59" t="s">
        <v>132</v>
      </c>
      <c r="I1336" s="119" t="s">
        <v>132</v>
      </c>
      <c r="J1336" s="59" t="s">
        <v>132</v>
      </c>
      <c r="K1336" s="339"/>
      <c r="L1336" s="59">
        <v>0</v>
      </c>
      <c r="M1336" s="132"/>
    </row>
    <row r="1337" spans="1:13">
      <c r="A1337" s="44"/>
      <c r="B1337" s="49" t="s">
        <v>69</v>
      </c>
      <c r="C1337" s="50" t="s">
        <v>70</v>
      </c>
      <c r="D1337" s="62">
        <v>60000000</v>
      </c>
      <c r="E1337" s="125">
        <v>0</v>
      </c>
      <c r="F1337" s="135">
        <v>0</v>
      </c>
      <c r="G1337" s="197">
        <v>60000000</v>
      </c>
      <c r="H1337" s="312">
        <f>G1337/D1337*100</f>
        <v>100</v>
      </c>
      <c r="I1337" s="197">
        <f>G1337</f>
        <v>60000000</v>
      </c>
      <c r="J1337" s="301">
        <f>H1337</f>
        <v>100</v>
      </c>
      <c r="K1337" s="331">
        <f>11/12</f>
        <v>0.91666666666666663</v>
      </c>
      <c r="L1337" s="301">
        <f>J1337</f>
        <v>100</v>
      </c>
      <c r="M1337" s="132"/>
    </row>
    <row r="1338" spans="1:13">
      <c r="A1338" s="63"/>
      <c r="B1338" s="64"/>
      <c r="C1338" s="65" t="s">
        <v>45</v>
      </c>
      <c r="D1338" s="66">
        <f>SUM(D1336:D1337)</f>
        <v>67500000</v>
      </c>
      <c r="E1338" s="66">
        <f>SUM(E1334:E1337)</f>
        <v>0</v>
      </c>
      <c r="F1338" s="66">
        <f>SUM(F1334:F1337)</f>
        <v>0</v>
      </c>
      <c r="G1338" s="122">
        <f>SUM(G1337)</f>
        <v>60000000</v>
      </c>
      <c r="H1338" s="323">
        <f>G1338/D1338*100</f>
        <v>88.888888888888886</v>
      </c>
      <c r="I1338" s="122">
        <f>SUM(I1337)</f>
        <v>60000000</v>
      </c>
      <c r="J1338" s="302">
        <f>H1338</f>
        <v>88.888888888888886</v>
      </c>
      <c r="K1338" s="356">
        <f>K1337</f>
        <v>0.91666666666666663</v>
      </c>
      <c r="L1338" s="302">
        <f>SUM(L1334:L1337)</f>
        <v>200</v>
      </c>
      <c r="M1338" s="748"/>
    </row>
    <row r="1339" spans="1:13">
      <c r="A1339" s="44">
        <v>16</v>
      </c>
      <c r="B1339" s="81" t="s">
        <v>71</v>
      </c>
      <c r="C1339" s="82"/>
      <c r="D1339" s="57"/>
      <c r="E1339" s="119"/>
      <c r="F1339" s="131"/>
      <c r="G1339" s="119"/>
      <c r="H1339" s="152"/>
      <c r="I1339" s="119"/>
      <c r="J1339" s="152"/>
      <c r="K1339" s="152"/>
      <c r="L1339" s="152"/>
      <c r="M1339" s="131"/>
    </row>
    <row r="1340" spans="1:13">
      <c r="A1340" s="44"/>
      <c r="B1340" s="47" t="s">
        <v>72</v>
      </c>
      <c r="C1340" s="48" t="s">
        <v>73</v>
      </c>
      <c r="D1340" s="60">
        <v>5000000</v>
      </c>
      <c r="E1340" s="120">
        <v>0</v>
      </c>
      <c r="F1340" s="132">
        <v>0</v>
      </c>
      <c r="G1340" s="120">
        <v>5000000</v>
      </c>
      <c r="H1340" s="312">
        <f>G1340/D1340*100</f>
        <v>100</v>
      </c>
      <c r="I1340" s="313">
        <f t="shared" ref="I1340:I1341" si="521">G1340</f>
        <v>5000000</v>
      </c>
      <c r="J1340" s="314">
        <f t="shared" ref="J1340:J1341" si="522">I1340/D1340*100</f>
        <v>100</v>
      </c>
      <c r="K1340" s="331">
        <f>11/12</f>
        <v>0.91666666666666663</v>
      </c>
      <c r="L1340" s="311">
        <f>J1340</f>
        <v>100</v>
      </c>
      <c r="M1340" s="132"/>
    </row>
    <row r="1341" spans="1:13">
      <c r="A1341" s="63"/>
      <c r="B1341" s="83"/>
      <c r="C1341" s="65" t="s">
        <v>45</v>
      </c>
      <c r="D1341" s="66">
        <f>SUM(D1340:D1340)</f>
        <v>5000000</v>
      </c>
      <c r="E1341" s="122">
        <f>SUM(E1340:E1340)</f>
        <v>0</v>
      </c>
      <c r="F1341" s="66">
        <f>SUM(F1340:F1340)</f>
        <v>0</v>
      </c>
      <c r="G1341" s="195">
        <f>G1340</f>
        <v>5000000</v>
      </c>
      <c r="H1341" s="534">
        <f>G1341/D1341*100</f>
        <v>100</v>
      </c>
      <c r="I1341" s="530">
        <f t="shared" si="521"/>
        <v>5000000</v>
      </c>
      <c r="J1341" s="531">
        <f t="shared" si="522"/>
        <v>100</v>
      </c>
      <c r="K1341" s="333">
        <f>SUM(K1340)</f>
        <v>0.91666666666666663</v>
      </c>
      <c r="L1341" s="302">
        <f>SUM(L1340)</f>
        <v>100</v>
      </c>
      <c r="M1341" s="66"/>
    </row>
    <row r="1342" spans="1:13">
      <c r="A1342" s="87" t="s">
        <v>69</v>
      </c>
      <c r="B1342" s="826" t="s">
        <v>89</v>
      </c>
      <c r="C1342" s="827"/>
      <c r="D1342" s="70"/>
      <c r="E1342" s="123"/>
      <c r="F1342" s="134"/>
      <c r="G1342" s="123"/>
      <c r="H1342" s="156"/>
      <c r="I1342" s="123"/>
      <c r="J1342" s="156"/>
      <c r="K1342" s="156"/>
      <c r="L1342" s="156"/>
      <c r="M1342" s="134"/>
    </row>
    <row r="1343" spans="1:13">
      <c r="A1343" s="88"/>
      <c r="B1343" s="830" t="s">
        <v>88</v>
      </c>
      <c r="C1343" s="831"/>
      <c r="D1343" s="57"/>
      <c r="E1343" s="119"/>
      <c r="F1343" s="131"/>
      <c r="G1343" s="119"/>
      <c r="H1343" s="152"/>
      <c r="I1343" s="119"/>
      <c r="J1343" s="152"/>
      <c r="K1343" s="152"/>
      <c r="L1343" s="152"/>
      <c r="M1343" s="131"/>
    </row>
    <row r="1344" spans="1:13">
      <c r="A1344" s="89"/>
      <c r="B1344" s="61" t="s">
        <v>26</v>
      </c>
      <c r="C1344" s="90" t="s">
        <v>74</v>
      </c>
      <c r="D1344" s="91">
        <v>15000000</v>
      </c>
      <c r="E1344" s="126">
        <v>0</v>
      </c>
      <c r="F1344" s="136">
        <v>0</v>
      </c>
      <c r="G1344" s="126">
        <v>15000000</v>
      </c>
      <c r="H1344" s="312">
        <f>G1344/D1344*100</f>
        <v>100</v>
      </c>
      <c r="I1344" s="313">
        <f>G1344</f>
        <v>15000000</v>
      </c>
      <c r="J1344" s="314">
        <f t="shared" ref="J1344:J1345" si="523">I1344/D1344*100</f>
        <v>100</v>
      </c>
      <c r="K1344" s="331">
        <f>11/12</f>
        <v>0.91666666666666663</v>
      </c>
      <c r="L1344" s="311">
        <f>J1344</f>
        <v>100</v>
      </c>
      <c r="M1344" s="136"/>
    </row>
    <row r="1345" spans="1:13">
      <c r="A1345" s="63"/>
      <c r="B1345" s="83"/>
      <c r="C1345" s="65" t="s">
        <v>45</v>
      </c>
      <c r="D1345" s="66">
        <f>SUM(D1344:D1344)</f>
        <v>15000000</v>
      </c>
      <c r="E1345" s="122">
        <f>SUM(E1344:E1344)</f>
        <v>0</v>
      </c>
      <c r="F1345" s="66">
        <f>SUM(F1344:F1344)</f>
        <v>0</v>
      </c>
      <c r="G1345" s="532">
        <f>SUM(G1344)</f>
        <v>15000000</v>
      </c>
      <c r="H1345" s="323">
        <f>G1345/D1345*100</f>
        <v>100</v>
      </c>
      <c r="I1345" s="533">
        <f t="shared" ref="I1345" si="524">G1345</f>
        <v>15000000</v>
      </c>
      <c r="J1345" s="340">
        <f t="shared" si="523"/>
        <v>100</v>
      </c>
      <c r="K1345" s="333">
        <f>SUM(K1344)</f>
        <v>0.91666666666666663</v>
      </c>
      <c r="L1345" s="302">
        <f>SUM(L1344)</f>
        <v>100</v>
      </c>
      <c r="M1345" s="66"/>
    </row>
    <row r="1346" spans="1:13">
      <c r="A1346" s="88"/>
      <c r="B1346" s="826" t="s">
        <v>94</v>
      </c>
      <c r="C1346" s="827"/>
      <c r="D1346" s="57"/>
      <c r="E1346" s="119"/>
      <c r="F1346" s="131"/>
      <c r="G1346" s="119"/>
      <c r="H1346" s="152"/>
      <c r="I1346" s="119"/>
      <c r="J1346" s="152"/>
      <c r="K1346" s="152"/>
      <c r="L1346" s="152"/>
      <c r="M1346" s="131"/>
    </row>
    <row r="1347" spans="1:13">
      <c r="A1347" s="84"/>
      <c r="B1347" s="92" t="s">
        <v>26</v>
      </c>
      <c r="C1347" s="48" t="s">
        <v>134</v>
      </c>
      <c r="D1347" s="60">
        <v>4000000</v>
      </c>
      <c r="E1347" s="125">
        <v>0</v>
      </c>
      <c r="F1347" s="135">
        <v>0</v>
      </c>
      <c r="G1347" s="197">
        <v>4000000</v>
      </c>
      <c r="H1347" s="312">
        <f>G1347/D1347*100</f>
        <v>100</v>
      </c>
      <c r="I1347" s="197">
        <f>G1347</f>
        <v>4000000</v>
      </c>
      <c r="J1347" s="314">
        <f t="shared" ref="J1347:J1348" si="525">I1347/D1347*100</f>
        <v>100</v>
      </c>
      <c r="K1347" s="331">
        <f>11/12</f>
        <v>0.91666666666666663</v>
      </c>
      <c r="L1347" s="301">
        <f>J1347</f>
        <v>100</v>
      </c>
      <c r="M1347" s="132"/>
    </row>
    <row r="1348" spans="1:13">
      <c r="A1348" s="93"/>
      <c r="B1348" s="64"/>
      <c r="C1348" s="65" t="s">
        <v>45</v>
      </c>
      <c r="D1348" s="66">
        <f>SUM(D1347:D1347)</f>
        <v>4000000</v>
      </c>
      <c r="E1348" s="66">
        <f t="shared" ref="E1348:F1348" si="526">SUM(E1342:E1347)</f>
        <v>0</v>
      </c>
      <c r="F1348" s="66">
        <f t="shared" si="526"/>
        <v>0</v>
      </c>
      <c r="G1348" s="122">
        <f>SUM(G1347)</f>
        <v>4000000</v>
      </c>
      <c r="H1348" s="323">
        <f>G1348/D1348*100</f>
        <v>100</v>
      </c>
      <c r="I1348" s="533">
        <f t="shared" ref="I1348" si="527">G1348</f>
        <v>4000000</v>
      </c>
      <c r="J1348" s="340">
        <f t="shared" si="525"/>
        <v>100</v>
      </c>
      <c r="K1348" s="356">
        <f>K1347</f>
        <v>0.91666666666666663</v>
      </c>
      <c r="L1348" s="302">
        <f>J1348</f>
        <v>100</v>
      </c>
      <c r="M1348" s="66"/>
    </row>
    <row r="1349" spans="1:13">
      <c r="A1349" s="84">
        <v>16</v>
      </c>
      <c r="B1349" s="826" t="s">
        <v>75</v>
      </c>
      <c r="C1349" s="827"/>
      <c r="D1349" s="57"/>
      <c r="E1349" s="119"/>
      <c r="F1349" s="131"/>
      <c r="G1349" s="119"/>
      <c r="H1349" s="156"/>
      <c r="I1349" s="123"/>
      <c r="J1349" s="152"/>
      <c r="K1349" s="152"/>
      <c r="L1349" s="152"/>
      <c r="M1349" s="131"/>
    </row>
    <row r="1350" spans="1:13">
      <c r="A1350" s="84"/>
      <c r="B1350" s="94" t="s">
        <v>72</v>
      </c>
      <c r="C1350" s="95" t="s">
        <v>103</v>
      </c>
      <c r="D1350" s="80">
        <v>10000000</v>
      </c>
      <c r="E1350" s="124"/>
      <c r="F1350" s="131"/>
      <c r="G1350" s="218">
        <v>9000000</v>
      </c>
      <c r="H1350" s="312">
        <f>G1350/D1350*100</f>
        <v>90</v>
      </c>
      <c r="I1350" s="313">
        <f t="shared" ref="I1350" si="528">G1350</f>
        <v>9000000</v>
      </c>
      <c r="J1350" s="314">
        <f t="shared" ref="J1350" si="529">I1350/D1350*100</f>
        <v>90</v>
      </c>
      <c r="K1350" s="331">
        <f>10/12</f>
        <v>0.83333333333333337</v>
      </c>
      <c r="L1350" s="311">
        <f>J1350</f>
        <v>90</v>
      </c>
      <c r="M1350" s="131"/>
    </row>
    <row r="1351" spans="1:13">
      <c r="A1351" s="93"/>
      <c r="B1351" s="83"/>
      <c r="C1351" s="65" t="s">
        <v>45</v>
      </c>
      <c r="D1351" s="66">
        <f>SUM(D1350)</f>
        <v>10000000</v>
      </c>
      <c r="E1351" s="66">
        <f t="shared" ref="E1351:F1351" si="530">SUM(E1349:E1350)</f>
        <v>0</v>
      </c>
      <c r="F1351" s="66">
        <f t="shared" si="530"/>
        <v>0</v>
      </c>
      <c r="G1351" s="122">
        <f>SUM(G1350)</f>
        <v>9000000</v>
      </c>
      <c r="H1351" s="302">
        <f t="shared" ref="H1351:J1351" si="531">SUM(H1350)</f>
        <v>90</v>
      </c>
      <c r="I1351" s="122">
        <f t="shared" si="531"/>
        <v>9000000</v>
      </c>
      <c r="J1351" s="302">
        <f t="shared" si="531"/>
        <v>90</v>
      </c>
      <c r="K1351" s="333">
        <f>SUM(K1350)</f>
        <v>0.83333333333333337</v>
      </c>
      <c r="L1351" s="302">
        <f t="shared" ref="L1351" si="532">SUM(L1350)</f>
        <v>90</v>
      </c>
      <c r="M1351" s="748"/>
    </row>
    <row r="1352" spans="1:13">
      <c r="A1352" s="84">
        <v>22</v>
      </c>
      <c r="B1352" s="826" t="s">
        <v>87</v>
      </c>
      <c r="C1352" s="827"/>
      <c r="D1352" s="57"/>
      <c r="E1352" s="119"/>
      <c r="F1352" s="131"/>
      <c r="G1352" s="119"/>
      <c r="H1352" s="152"/>
      <c r="I1352" s="119"/>
      <c r="J1352" s="152"/>
      <c r="K1352" s="152"/>
      <c r="L1352" s="152"/>
      <c r="M1352" s="131"/>
    </row>
    <row r="1353" spans="1:13" ht="25.5">
      <c r="A1353" s="84"/>
      <c r="B1353" s="47" t="s">
        <v>26</v>
      </c>
      <c r="C1353" s="95" t="s">
        <v>76</v>
      </c>
      <c r="D1353" s="60">
        <v>3500000</v>
      </c>
      <c r="E1353" s="125">
        <v>0</v>
      </c>
      <c r="F1353" s="135">
        <v>0</v>
      </c>
      <c r="G1353" s="197">
        <f>875000+875000+875000</f>
        <v>2625000</v>
      </c>
      <c r="H1353" s="312">
        <f>G1353/D1353*100</f>
        <v>75</v>
      </c>
      <c r="I1353" s="197">
        <f>G1353</f>
        <v>2625000</v>
      </c>
      <c r="J1353" s="314">
        <f t="shared" ref="J1353:J1354" si="533">I1353/D1353*100</f>
        <v>75</v>
      </c>
      <c r="K1353" s="331">
        <f>11/12</f>
        <v>0.91666666666666663</v>
      </c>
      <c r="L1353" s="311">
        <f>J1353</f>
        <v>75</v>
      </c>
      <c r="M1353" s="132"/>
    </row>
    <row r="1354" spans="1:13">
      <c r="A1354" s="63"/>
      <c r="B1354" s="83"/>
      <c r="C1354" s="65" t="s">
        <v>45</v>
      </c>
      <c r="D1354" s="66">
        <f>SUM(D1353:D1353)</f>
        <v>3500000</v>
      </c>
      <c r="E1354" s="66">
        <f t="shared" ref="E1354:F1354" si="534">SUM(E1351:E1353)</f>
        <v>0</v>
      </c>
      <c r="F1354" s="66">
        <f t="shared" si="534"/>
        <v>0</v>
      </c>
      <c r="G1354" s="122">
        <f>SUM(G1353)</f>
        <v>2625000</v>
      </c>
      <c r="H1354" s="535">
        <f>G1354/D1354*100</f>
        <v>75</v>
      </c>
      <c r="I1354" s="122">
        <f>SUM(I1353)</f>
        <v>2625000</v>
      </c>
      <c r="J1354" s="536">
        <f t="shared" si="533"/>
        <v>75</v>
      </c>
      <c r="K1354" s="333">
        <f>SUM(K1353)</f>
        <v>0.91666666666666663</v>
      </c>
      <c r="L1354" s="302">
        <f>SUM(L1353)</f>
        <v>75</v>
      </c>
      <c r="M1354" s="748"/>
    </row>
    <row r="1355" spans="1:13">
      <c r="A1355" s="44">
        <v>17</v>
      </c>
      <c r="B1355" s="822" t="s">
        <v>56</v>
      </c>
      <c r="C1355" s="823"/>
      <c r="D1355" s="57"/>
      <c r="E1355" s="119"/>
      <c r="F1355" s="131"/>
      <c r="G1355" s="119"/>
      <c r="H1355" s="152"/>
      <c r="I1355" s="119"/>
      <c r="J1355" s="152"/>
      <c r="K1355" s="152"/>
      <c r="L1355" s="152"/>
      <c r="M1355" s="131"/>
    </row>
    <row r="1356" spans="1:13">
      <c r="A1356" s="44"/>
      <c r="B1356" s="47">
        <v>19</v>
      </c>
      <c r="C1356" s="824" t="s">
        <v>91</v>
      </c>
      <c r="E1356" s="120"/>
      <c r="F1356" s="132"/>
      <c r="G1356" s="119"/>
      <c r="H1356" s="59"/>
      <c r="I1356" s="119"/>
      <c r="J1356" s="59"/>
      <c r="K1356" s="59"/>
      <c r="L1356" s="59"/>
      <c r="M1356" s="132"/>
    </row>
    <row r="1357" spans="1:13">
      <c r="A1357" s="44"/>
      <c r="B1357" s="163"/>
      <c r="C1357" s="825"/>
      <c r="D1357" s="60">
        <v>25000000</v>
      </c>
      <c r="E1357" s="164">
        <v>0</v>
      </c>
      <c r="F1357" s="165">
        <v>0</v>
      </c>
      <c r="G1357" s="330">
        <v>18750000</v>
      </c>
      <c r="H1357" s="312">
        <f>G1357/D1357*100</f>
        <v>75</v>
      </c>
      <c r="I1357" s="197">
        <f>G1357</f>
        <v>18750000</v>
      </c>
      <c r="J1357" s="314">
        <f t="shared" ref="J1357" si="535">I1357/D1357*100</f>
        <v>75</v>
      </c>
      <c r="K1357" s="331">
        <f>11/12</f>
        <v>0.91666666666666663</v>
      </c>
      <c r="L1357" s="314">
        <f>J1357</f>
        <v>75</v>
      </c>
      <c r="M1357" s="165"/>
    </row>
    <row r="1358" spans="1:13">
      <c r="A1358" s="63"/>
      <c r="B1358" s="96"/>
      <c r="C1358" s="65" t="s">
        <v>45</v>
      </c>
      <c r="D1358" s="66">
        <f>SUM(D1357:D1357)</f>
        <v>25000000</v>
      </c>
      <c r="E1358" s="122">
        <f>SUM(E1356:E1356)</f>
        <v>0</v>
      </c>
      <c r="F1358" s="137">
        <f>SUM(F1356:F1356)</f>
        <v>0</v>
      </c>
      <c r="G1358" s="122">
        <f>SUM(G1357)</f>
        <v>18750000</v>
      </c>
      <c r="H1358" s="302">
        <f>SUM(H1357)</f>
        <v>75</v>
      </c>
      <c r="I1358" s="122">
        <f>SUM(I1357)</f>
        <v>18750000</v>
      </c>
      <c r="J1358" s="324">
        <f>SUM(J1357)</f>
        <v>75</v>
      </c>
      <c r="K1358" s="333">
        <f>SUM(K1357)</f>
        <v>0.91666666666666663</v>
      </c>
      <c r="L1358" s="340">
        <f>J1358</f>
        <v>75</v>
      </c>
      <c r="M1358" s="750"/>
    </row>
    <row r="1359" spans="1:13">
      <c r="A1359" s="44">
        <v>19</v>
      </c>
      <c r="B1359" s="826" t="s">
        <v>57</v>
      </c>
      <c r="C1359" s="827"/>
      <c r="D1359" s="57"/>
      <c r="E1359" s="119"/>
      <c r="F1359" s="131"/>
      <c r="G1359" s="119"/>
      <c r="H1359" s="152"/>
      <c r="I1359" s="119"/>
      <c r="J1359" s="152"/>
      <c r="K1359" s="152"/>
      <c r="L1359" s="152"/>
      <c r="M1359" s="131"/>
    </row>
    <row r="1360" spans="1:13">
      <c r="A1360" s="44"/>
      <c r="B1360" s="47" t="s">
        <v>26</v>
      </c>
      <c r="C1360" s="48" t="s">
        <v>58</v>
      </c>
      <c r="D1360" s="60">
        <v>15000000</v>
      </c>
      <c r="E1360" s="120">
        <v>0</v>
      </c>
      <c r="F1360" s="132">
        <v>0</v>
      </c>
      <c r="G1360" s="197">
        <v>15000000</v>
      </c>
      <c r="H1360" s="59">
        <f>G1360/D1360*100</f>
        <v>100</v>
      </c>
      <c r="I1360" s="197">
        <f>G1360</f>
        <v>15000000</v>
      </c>
      <c r="J1360" s="301">
        <f>I1360/D1360*100</f>
        <v>100</v>
      </c>
      <c r="K1360" s="331">
        <f>11/12</f>
        <v>0.91666666666666663</v>
      </c>
      <c r="L1360" s="311">
        <f>J1360</f>
        <v>100</v>
      </c>
      <c r="M1360" s="132"/>
    </row>
    <row r="1361" spans="1:13">
      <c r="A1361" s="183"/>
      <c r="B1361" s="64"/>
      <c r="C1361" s="65" t="s">
        <v>45</v>
      </c>
      <c r="D1361" s="66">
        <f>SUM(D1360)</f>
        <v>15000000</v>
      </c>
      <c r="E1361" s="122">
        <f>SUM(E1358:E1358)</f>
        <v>0</v>
      </c>
      <c r="F1361" s="66">
        <f>SUM(F1358:F1358)</f>
        <v>0</v>
      </c>
      <c r="G1361" s="122">
        <f>G1360</f>
        <v>15000000</v>
      </c>
      <c r="H1361" s="66">
        <f>G1361/D1361*100</f>
        <v>100</v>
      </c>
      <c r="I1361" s="122">
        <f>I1360</f>
        <v>15000000</v>
      </c>
      <c r="J1361" s="324">
        <f>I1361/D1361*100</f>
        <v>100</v>
      </c>
      <c r="K1361" s="333">
        <f>SUM(K1360)</f>
        <v>0.91666666666666663</v>
      </c>
      <c r="L1361" s="302">
        <f>SUM(L1360)</f>
        <v>100</v>
      </c>
      <c r="M1361" s="66"/>
    </row>
    <row r="1362" spans="1:13">
      <c r="A1362" s="44">
        <v>32</v>
      </c>
      <c r="B1362" s="97" t="s">
        <v>59</v>
      </c>
      <c r="C1362" s="98"/>
      <c r="D1362" s="57"/>
      <c r="E1362" s="119"/>
      <c r="F1362" s="131"/>
      <c r="G1362" s="119"/>
      <c r="H1362" s="152"/>
      <c r="I1362" s="119"/>
      <c r="J1362" s="152"/>
      <c r="K1362" s="152"/>
      <c r="L1362" s="152"/>
      <c r="M1362" s="131"/>
    </row>
    <row r="1363" spans="1:13">
      <c r="A1363" s="44"/>
      <c r="B1363" s="47" t="s">
        <v>26</v>
      </c>
      <c r="C1363" s="58" t="s">
        <v>60</v>
      </c>
      <c r="D1363" s="60">
        <v>15000000</v>
      </c>
      <c r="E1363" s="120">
        <v>0</v>
      </c>
      <c r="F1363" s="132">
        <v>0</v>
      </c>
      <c r="G1363" s="197">
        <f>750000+225000+ 1500000+750000+7500000+3525000</f>
        <v>14250000</v>
      </c>
      <c r="H1363" s="301">
        <f>G1363/D1363*100</f>
        <v>95</v>
      </c>
      <c r="I1363" s="192">
        <f>G1363</f>
        <v>14250000</v>
      </c>
      <c r="J1363" s="301">
        <f>I1363/D1363*100</f>
        <v>95</v>
      </c>
      <c r="K1363" s="331">
        <f>11/12</f>
        <v>0.91666666666666663</v>
      </c>
      <c r="L1363" s="311">
        <f>J1363</f>
        <v>95</v>
      </c>
      <c r="M1363" s="132"/>
    </row>
    <row r="1364" spans="1:13">
      <c r="A1364" s="63"/>
      <c r="B1364" s="64"/>
      <c r="C1364" s="65" t="s">
        <v>45</v>
      </c>
      <c r="D1364" s="66">
        <f>SUM(D1363)</f>
        <v>15000000</v>
      </c>
      <c r="E1364" s="122">
        <f>SUM(E1363:E1363)</f>
        <v>0</v>
      </c>
      <c r="F1364" s="66">
        <f>SUM(F1363:F1363)</f>
        <v>0</v>
      </c>
      <c r="G1364" s="122">
        <f>G1363</f>
        <v>14250000</v>
      </c>
      <c r="H1364" s="302">
        <f>G1364/D1364*100</f>
        <v>95</v>
      </c>
      <c r="I1364" s="122">
        <f>I1363</f>
        <v>14250000</v>
      </c>
      <c r="J1364" s="302">
        <f>I1364/D1364*100</f>
        <v>95</v>
      </c>
      <c r="K1364" s="333">
        <f>SUM(K1363:K1363)</f>
        <v>0.91666666666666663</v>
      </c>
      <c r="L1364" s="302">
        <f>SUM(L1363:L1363)</f>
        <v>95</v>
      </c>
      <c r="M1364" s="748"/>
    </row>
    <row r="1365" spans="1:13">
      <c r="A1365" s="99">
        <v>15</v>
      </c>
      <c r="B1365" s="100" t="s">
        <v>77</v>
      </c>
      <c r="C1365" s="742"/>
      <c r="D1365" s="70"/>
      <c r="E1365" s="123"/>
      <c r="F1365" s="134"/>
      <c r="G1365" s="123"/>
      <c r="H1365" s="156"/>
      <c r="I1365" s="123"/>
      <c r="J1365" s="144"/>
      <c r="K1365" s="156"/>
      <c r="L1365" s="156"/>
      <c r="M1365" s="134"/>
    </row>
    <row r="1366" spans="1:13">
      <c r="A1366" s="84"/>
      <c r="B1366" s="101" t="s">
        <v>78</v>
      </c>
      <c r="C1366" s="48"/>
      <c r="D1366" s="102"/>
      <c r="E1366" s="119"/>
      <c r="F1366" s="131"/>
      <c r="G1366" s="119"/>
      <c r="H1366" s="152"/>
      <c r="I1366" s="119"/>
      <c r="J1366" s="59"/>
      <c r="K1366" s="152"/>
      <c r="L1366" s="152"/>
      <c r="M1366" s="131"/>
    </row>
    <row r="1367" spans="1:13">
      <c r="A1367" s="44"/>
      <c r="B1367" s="47" t="s">
        <v>26</v>
      </c>
      <c r="C1367" s="48" t="s">
        <v>79</v>
      </c>
      <c r="D1367" s="60">
        <v>5000000</v>
      </c>
      <c r="E1367" s="120">
        <v>0</v>
      </c>
      <c r="F1367" s="132">
        <v>0</v>
      </c>
      <c r="G1367" s="199">
        <v>5000000</v>
      </c>
      <c r="H1367" s="59">
        <f>G1367/D1367*100</f>
        <v>100</v>
      </c>
      <c r="I1367" s="199">
        <f>G1367</f>
        <v>5000000</v>
      </c>
      <c r="J1367" s="301">
        <f>I1367/D1367*100</f>
        <v>100</v>
      </c>
      <c r="K1367" s="331">
        <f>11/12</f>
        <v>0.91666666666666663</v>
      </c>
      <c r="L1367" s="301">
        <f>J1367</f>
        <v>100</v>
      </c>
      <c r="M1367" s="132"/>
    </row>
    <row r="1368" spans="1:13">
      <c r="A1368" s="89"/>
      <c r="B1368" s="61" t="s">
        <v>80</v>
      </c>
      <c r="C1368" s="103" t="s">
        <v>104</v>
      </c>
      <c r="D1368" s="91">
        <v>15000000</v>
      </c>
      <c r="E1368" s="127">
        <v>0</v>
      </c>
      <c r="F1368" s="138">
        <v>0</v>
      </c>
      <c r="G1368" s="197">
        <v>15000000</v>
      </c>
      <c r="H1368" s="59">
        <f>G1368/D1368*100</f>
        <v>100</v>
      </c>
      <c r="I1368" s="197">
        <f>G1368</f>
        <v>15000000</v>
      </c>
      <c r="J1368" s="301">
        <f>I1368/D1368*100</f>
        <v>100</v>
      </c>
      <c r="K1368" s="331">
        <f>11/12</f>
        <v>0.91666666666666663</v>
      </c>
      <c r="L1368" s="301">
        <f>J1368</f>
        <v>100</v>
      </c>
      <c r="M1368" s="136"/>
    </row>
    <row r="1369" spans="1:13">
      <c r="A1369" s="93"/>
      <c r="B1369" s="83"/>
      <c r="C1369" s="65" t="s">
        <v>45</v>
      </c>
      <c r="D1369" s="66">
        <f>SUM(D1367:D1368)</f>
        <v>20000000</v>
      </c>
      <c r="E1369" s="66">
        <f>SUM(E1367:E1368)</f>
        <v>0</v>
      </c>
      <c r="F1369" s="66">
        <f t="shared" ref="F1369" si="536">SUM(F1367:F1368)</f>
        <v>0</v>
      </c>
      <c r="G1369" s="122">
        <f>SUM(G1367:G1368)</f>
        <v>20000000</v>
      </c>
      <c r="H1369" s="302">
        <f>G1369/D1369*100</f>
        <v>100</v>
      </c>
      <c r="I1369" s="537">
        <f>SUM(I1367:I1368)</f>
        <v>20000000</v>
      </c>
      <c r="J1369" s="302">
        <f>I1369/D1369*100</f>
        <v>100</v>
      </c>
      <c r="K1369" s="356">
        <f>K1368</f>
        <v>0.91666666666666663</v>
      </c>
      <c r="L1369" s="302">
        <f>L1368</f>
        <v>100</v>
      </c>
      <c r="M1369" s="66"/>
    </row>
    <row r="1370" spans="1:13">
      <c r="A1370" s="84">
        <v>18</v>
      </c>
      <c r="B1370" s="75" t="s">
        <v>82</v>
      </c>
      <c r="C1370" s="76"/>
      <c r="D1370" s="57"/>
      <c r="E1370" s="119"/>
      <c r="F1370" s="131"/>
      <c r="G1370" s="119"/>
      <c r="H1370" s="152"/>
      <c r="I1370" s="119"/>
      <c r="J1370" s="152"/>
      <c r="K1370" s="152"/>
      <c r="L1370" s="152"/>
      <c r="M1370" s="131"/>
    </row>
    <row r="1371" spans="1:13" ht="26.25">
      <c r="A1371" s="84"/>
      <c r="B1371" s="94" t="s">
        <v>29</v>
      </c>
      <c r="C1371" s="48" t="s">
        <v>92</v>
      </c>
      <c r="D1371" s="60">
        <v>7500000</v>
      </c>
      <c r="E1371" s="120">
        <v>0</v>
      </c>
      <c r="F1371" s="132">
        <v>0</v>
      </c>
      <c r="G1371" s="199">
        <v>7500000</v>
      </c>
      <c r="H1371" s="301">
        <f>G1371/D1371*100</f>
        <v>100</v>
      </c>
      <c r="I1371" s="192">
        <f>G1371</f>
        <v>7500000</v>
      </c>
      <c r="J1371" s="301">
        <f>I1371/D1371*100</f>
        <v>100</v>
      </c>
      <c r="K1371" s="331">
        <f>11/12</f>
        <v>0.91666666666666663</v>
      </c>
      <c r="L1371" s="311">
        <f>J1371</f>
        <v>100</v>
      </c>
      <c r="M1371" s="131"/>
    </row>
    <row r="1372" spans="1:13" ht="26.25">
      <c r="A1372" s="84"/>
      <c r="B1372" s="94" t="s">
        <v>83</v>
      </c>
      <c r="C1372" s="48" t="s">
        <v>93</v>
      </c>
      <c r="D1372" s="62">
        <v>10000000</v>
      </c>
      <c r="E1372" s="121">
        <v>0</v>
      </c>
      <c r="F1372" s="133">
        <v>0</v>
      </c>
      <c r="G1372" s="200">
        <v>10000000</v>
      </c>
      <c r="H1372" s="301">
        <f>G1372/D1372*100</f>
        <v>100</v>
      </c>
      <c r="I1372" s="200">
        <f>G1372</f>
        <v>10000000</v>
      </c>
      <c r="J1372" s="301">
        <f>I1372/D1372*100</f>
        <v>100</v>
      </c>
      <c r="K1372" s="331">
        <f>11/12</f>
        <v>0.91666666666666663</v>
      </c>
      <c r="L1372" s="311">
        <f>J1372</f>
        <v>100</v>
      </c>
      <c r="M1372" s="131"/>
    </row>
    <row r="1373" spans="1:13">
      <c r="A1373" s="93"/>
      <c r="B1373" s="64"/>
      <c r="C1373" s="65" t="s">
        <v>45</v>
      </c>
      <c r="D1373" s="66">
        <f>SUM(D1371:D1372)</f>
        <v>17500000</v>
      </c>
      <c r="E1373" s="66">
        <f t="shared" ref="E1373:F1373" si="537">SUM(E1371:E1372)</f>
        <v>0</v>
      </c>
      <c r="F1373" s="66">
        <f t="shared" si="537"/>
        <v>0</v>
      </c>
      <c r="G1373" s="122">
        <f>SUM(G1371:G1372)</f>
        <v>17500000</v>
      </c>
      <c r="H1373" s="302">
        <f>G1373/D1373*100</f>
        <v>100</v>
      </c>
      <c r="I1373" s="122">
        <f t="shared" ref="I1373" si="538">SUM(I1371:I1372)</f>
        <v>17500000</v>
      </c>
      <c r="J1373" s="302">
        <f>I1373/D1373*100</f>
        <v>100</v>
      </c>
      <c r="K1373" s="356">
        <f>K1372</f>
        <v>0.91666666666666663</v>
      </c>
      <c r="L1373" s="302">
        <f>SUM(L1372:L1372)</f>
        <v>100</v>
      </c>
      <c r="M1373" s="66"/>
    </row>
    <row r="1374" spans="1:13">
      <c r="A1374" s="99">
        <v>26</v>
      </c>
      <c r="B1374" s="104" t="s">
        <v>105</v>
      </c>
      <c r="C1374" s="105"/>
      <c r="D1374" s="57"/>
      <c r="E1374" s="119"/>
      <c r="F1374" s="131"/>
      <c r="G1374" s="119"/>
      <c r="H1374" s="152"/>
      <c r="I1374" s="119"/>
      <c r="J1374" s="152"/>
      <c r="K1374" s="152"/>
      <c r="L1374" s="152"/>
      <c r="M1374" s="131"/>
    </row>
    <row r="1375" spans="1:13">
      <c r="A1375" s="44"/>
      <c r="B1375" s="47" t="s">
        <v>84</v>
      </c>
      <c r="C1375" s="48" t="s">
        <v>106</v>
      </c>
      <c r="D1375" s="60">
        <v>5000000</v>
      </c>
      <c r="E1375" s="120" t="s">
        <v>132</v>
      </c>
      <c r="F1375" s="132">
        <v>0</v>
      </c>
      <c r="G1375" s="120">
        <v>5000000</v>
      </c>
      <c r="H1375" s="301">
        <f>G1375/D1375*100</f>
        <v>100</v>
      </c>
      <c r="I1375" s="192">
        <f>G1375</f>
        <v>5000000</v>
      </c>
      <c r="J1375" s="301">
        <f>I1375/D1375*100</f>
        <v>100</v>
      </c>
      <c r="K1375" s="349">
        <f>11/12</f>
        <v>0.91666666666666663</v>
      </c>
      <c r="L1375" s="59">
        <f>J1375</f>
        <v>100</v>
      </c>
      <c r="M1375" s="132"/>
    </row>
    <row r="1376" spans="1:13">
      <c r="A1376" s="63"/>
      <c r="B1376" s="64"/>
      <c r="C1376" s="65" t="s">
        <v>45</v>
      </c>
      <c r="D1376" s="66">
        <f>SUM(D1375)</f>
        <v>5000000</v>
      </c>
      <c r="E1376" s="66">
        <v>0</v>
      </c>
      <c r="F1376" s="66">
        <f t="shared" ref="F1376" si="539">SUM(F1373:F1375)</f>
        <v>0</v>
      </c>
      <c r="G1376" s="122">
        <f>SUM(G1375)</f>
        <v>5000000</v>
      </c>
      <c r="H1376" s="302">
        <f>G1376/D1376*100</f>
        <v>100</v>
      </c>
      <c r="I1376" s="122">
        <f>SUM(I1375)</f>
        <v>5000000</v>
      </c>
      <c r="J1376" s="302">
        <f>I1376/D1376*100</f>
        <v>100</v>
      </c>
      <c r="K1376" s="350">
        <f>K1375</f>
        <v>0.91666666666666663</v>
      </c>
      <c r="L1376" s="66">
        <f>J1376</f>
        <v>100</v>
      </c>
      <c r="M1376" s="66"/>
    </row>
    <row r="1377" spans="1:13">
      <c r="A1377" s="99">
        <v>16</v>
      </c>
      <c r="B1377" s="104" t="s">
        <v>123</v>
      </c>
      <c r="C1377" s="105"/>
      <c r="D1377" s="57"/>
      <c r="E1377" s="119"/>
      <c r="F1377" s="131"/>
      <c r="G1377" s="119"/>
      <c r="H1377" s="152"/>
      <c r="I1377" s="119"/>
      <c r="J1377" s="152"/>
      <c r="K1377" s="152"/>
      <c r="L1377" s="152"/>
      <c r="M1377" s="131"/>
    </row>
    <row r="1378" spans="1:13">
      <c r="A1378" s="84"/>
      <c r="B1378" s="185" t="s">
        <v>124</v>
      </c>
      <c r="C1378" s="186"/>
      <c r="D1378" s="182"/>
      <c r="E1378" s="124"/>
      <c r="F1378" s="131"/>
      <c r="G1378" s="131"/>
      <c r="H1378" s="152"/>
      <c r="I1378" s="131"/>
      <c r="J1378" s="152"/>
      <c r="K1378" s="152"/>
      <c r="L1378" s="152"/>
      <c r="M1378" s="152"/>
    </row>
    <row r="1379" spans="1:13" ht="26.25">
      <c r="A1379" s="44"/>
      <c r="B1379" s="282" t="s">
        <v>46</v>
      </c>
      <c r="C1379" s="50" t="s">
        <v>217</v>
      </c>
      <c r="D1379" s="60">
        <v>0</v>
      </c>
      <c r="E1379" s="125">
        <v>0</v>
      </c>
      <c r="F1379" s="135">
        <v>0</v>
      </c>
      <c r="G1379" s="124">
        <v>0</v>
      </c>
      <c r="H1379" s="59" t="s">
        <v>132</v>
      </c>
      <c r="I1379" s="124">
        <v>0</v>
      </c>
      <c r="J1379" s="59" t="s">
        <v>132</v>
      </c>
      <c r="K1379" s="59">
        <v>0</v>
      </c>
      <c r="L1379" s="59">
        <v>0</v>
      </c>
      <c r="M1379" s="59"/>
    </row>
    <row r="1380" spans="1:13">
      <c r="A1380" s="44"/>
      <c r="B1380" s="163" t="s">
        <v>111</v>
      </c>
      <c r="C1380" s="204" t="s">
        <v>81</v>
      </c>
      <c r="D1380" s="205">
        <v>3000000</v>
      </c>
      <c r="E1380" s="125">
        <v>0</v>
      </c>
      <c r="F1380" s="135">
        <v>0</v>
      </c>
      <c r="G1380" s="201">
        <v>3000000</v>
      </c>
      <c r="H1380" s="301">
        <f>G1380/D1380*100</f>
        <v>100</v>
      </c>
      <c r="I1380" s="201">
        <f>G1380</f>
        <v>3000000</v>
      </c>
      <c r="J1380" s="528">
        <f>I1380/D1380*100</f>
        <v>100</v>
      </c>
      <c r="K1380" s="349">
        <f>11/12</f>
        <v>0.91666666666666663</v>
      </c>
      <c r="L1380" s="187">
        <f>J1380</f>
        <v>100</v>
      </c>
      <c r="M1380" s="188"/>
    </row>
    <row r="1381" spans="1:13">
      <c r="A1381" s="63"/>
      <c r="B1381" s="64"/>
      <c r="C1381" s="65" t="s">
        <v>45</v>
      </c>
      <c r="D1381" s="66">
        <f>SUM(D1379:D1380)</f>
        <v>3000000</v>
      </c>
      <c r="E1381" s="66">
        <f>SUM(E1379:E1380)</f>
        <v>0</v>
      </c>
      <c r="F1381" s="66">
        <f>SUM(F1379:F1380)</f>
        <v>0</v>
      </c>
      <c r="G1381" s="122">
        <f>SUM(G1380)</f>
        <v>3000000</v>
      </c>
      <c r="H1381" s="302">
        <f>G1381/D1381*100</f>
        <v>100</v>
      </c>
      <c r="I1381" s="122">
        <f>SUM(I1379:I1380)</f>
        <v>3000000</v>
      </c>
      <c r="J1381" s="324">
        <f>I1381/D1381*100</f>
        <v>100</v>
      </c>
      <c r="K1381" s="350">
        <f>K1380</f>
        <v>0.91666666666666663</v>
      </c>
      <c r="L1381" s="66">
        <f>SUM(L1379:L1380)</f>
        <v>100</v>
      </c>
      <c r="M1381" s="66"/>
    </row>
    <row r="1382" spans="1:13">
      <c r="A1382" s="99">
        <v>17</v>
      </c>
      <c r="B1382" s="104" t="s">
        <v>127</v>
      </c>
      <c r="C1382" s="105"/>
      <c r="D1382" s="57"/>
      <c r="E1382" s="119"/>
      <c r="F1382" s="131"/>
      <c r="G1382" s="119"/>
      <c r="H1382" s="152"/>
      <c r="I1382" s="119"/>
      <c r="J1382" s="152"/>
      <c r="K1382" s="152"/>
      <c r="L1382" s="152"/>
      <c r="M1382" s="131"/>
    </row>
    <row r="1383" spans="1:13" ht="26.25">
      <c r="A1383" s="44"/>
      <c r="B1383" s="47" t="s">
        <v>84</v>
      </c>
      <c r="C1383" s="48" t="s">
        <v>128</v>
      </c>
      <c r="D1383" s="60">
        <v>0</v>
      </c>
      <c r="E1383" s="120">
        <v>0</v>
      </c>
      <c r="F1383" s="132">
        <v>0</v>
      </c>
      <c r="G1383" s="120" t="s">
        <v>132</v>
      </c>
      <c r="H1383" s="59" t="s">
        <v>132</v>
      </c>
      <c r="I1383" s="120">
        <v>0</v>
      </c>
      <c r="J1383" s="59" t="s">
        <v>132</v>
      </c>
      <c r="K1383" s="157">
        <v>0</v>
      </c>
      <c r="L1383" s="59">
        <v>0</v>
      </c>
      <c r="M1383" s="132"/>
    </row>
    <row r="1384" spans="1:13">
      <c r="A1384" s="63"/>
      <c r="B1384" s="64"/>
      <c r="C1384" s="65" t="s">
        <v>45</v>
      </c>
      <c r="D1384" s="66">
        <f>SUM(D1383)</f>
        <v>0</v>
      </c>
      <c r="E1384" s="66">
        <f t="shared" ref="E1384:F1384" si="540">SUM(E1381:E1383)</f>
        <v>0</v>
      </c>
      <c r="F1384" s="66">
        <f t="shared" si="540"/>
        <v>0</v>
      </c>
      <c r="G1384" s="122" t="s">
        <v>132</v>
      </c>
      <c r="H1384" s="66" t="s">
        <v>132</v>
      </c>
      <c r="I1384" s="122" t="s">
        <v>132</v>
      </c>
      <c r="J1384" s="66" t="s">
        <v>132</v>
      </c>
      <c r="K1384" s="66">
        <f>SUM(K1383)</f>
        <v>0</v>
      </c>
      <c r="L1384" s="66">
        <v>0</v>
      </c>
      <c r="M1384" s="66"/>
    </row>
    <row r="1385" spans="1:13">
      <c r="A1385" s="44">
        <v>18</v>
      </c>
      <c r="B1385" s="104" t="s">
        <v>218</v>
      </c>
      <c r="C1385" s="105"/>
      <c r="D1385" s="70"/>
      <c r="E1385" s="70"/>
      <c r="F1385" s="70"/>
      <c r="G1385" s="287"/>
      <c r="H1385" s="70"/>
      <c r="I1385" s="287"/>
      <c r="J1385" s="70"/>
      <c r="K1385" s="70"/>
      <c r="L1385" s="70"/>
      <c r="M1385" s="70"/>
    </row>
    <row r="1386" spans="1:13" ht="25.5">
      <c r="A1386" s="44"/>
      <c r="B1386" s="283" t="s">
        <v>83</v>
      </c>
      <c r="C1386" s="284" t="s">
        <v>219</v>
      </c>
      <c r="D1386" s="288">
        <v>16200000</v>
      </c>
      <c r="E1386" s="285">
        <v>0</v>
      </c>
      <c r="F1386" s="285">
        <v>0</v>
      </c>
      <c r="G1386" s="286">
        <v>16200000</v>
      </c>
      <c r="H1386" s="301">
        <f>G1386/D1386*100</f>
        <v>100</v>
      </c>
      <c r="I1386" s="286">
        <f>G1386</f>
        <v>16200000</v>
      </c>
      <c r="J1386" s="301">
        <f>I1386/D1386*100</f>
        <v>100</v>
      </c>
      <c r="K1386" s="349">
        <f>11/12</f>
        <v>0.91666666666666663</v>
      </c>
      <c r="L1386" s="323">
        <f>J1386</f>
        <v>100</v>
      </c>
      <c r="M1386" s="285"/>
    </row>
    <row r="1387" spans="1:13">
      <c r="A1387" s="63"/>
      <c r="B1387" s="64"/>
      <c r="C1387" s="65" t="s">
        <v>45</v>
      </c>
      <c r="D1387" s="66">
        <f>SUM(D1386)</f>
        <v>16200000</v>
      </c>
      <c r="E1387" s="66">
        <v>0</v>
      </c>
      <c r="F1387" s="66">
        <v>0</v>
      </c>
      <c r="G1387" s="122">
        <f>SUM(G1386)</f>
        <v>16200000</v>
      </c>
      <c r="H1387" s="302">
        <f>G1387/D1387*100</f>
        <v>100</v>
      </c>
      <c r="I1387" s="122">
        <f>SUM(I1386)</f>
        <v>16200000</v>
      </c>
      <c r="J1387" s="302">
        <f>I1387/D1387*100</f>
        <v>100</v>
      </c>
      <c r="K1387" s="350">
        <f>K1386</f>
        <v>0.91666666666666663</v>
      </c>
      <c r="L1387" s="302">
        <f>J1387</f>
        <v>100</v>
      </c>
      <c r="M1387" s="66"/>
    </row>
    <row r="1388" spans="1:13">
      <c r="A1388" s="44">
        <v>24</v>
      </c>
      <c r="B1388" s="104" t="s">
        <v>221</v>
      </c>
      <c r="C1388" s="105"/>
      <c r="D1388" s="70"/>
      <c r="E1388" s="70"/>
      <c r="F1388" s="70"/>
      <c r="G1388" s="287"/>
      <c r="H1388" s="70"/>
      <c r="I1388" s="287"/>
      <c r="J1388" s="70"/>
      <c r="K1388" s="70"/>
      <c r="L1388" s="70"/>
      <c r="M1388" s="70"/>
    </row>
    <row r="1389" spans="1:13">
      <c r="A1389" s="44"/>
      <c r="B1389" s="283" t="s">
        <v>83</v>
      </c>
      <c r="C1389" s="284" t="s">
        <v>222</v>
      </c>
      <c r="D1389" s="288">
        <v>51500000</v>
      </c>
      <c r="E1389" s="285">
        <v>0</v>
      </c>
      <c r="F1389" s="285">
        <v>0</v>
      </c>
      <c r="G1389" s="286">
        <v>0</v>
      </c>
      <c r="H1389" s="285">
        <v>0</v>
      </c>
      <c r="I1389" s="286">
        <v>0</v>
      </c>
      <c r="J1389" s="285">
        <v>0</v>
      </c>
      <c r="K1389" s="157">
        <v>0</v>
      </c>
      <c r="L1389" s="285">
        <v>0</v>
      </c>
      <c r="M1389" s="285"/>
    </row>
    <row r="1390" spans="1:13">
      <c r="A1390" s="63"/>
      <c r="B1390" s="64"/>
      <c r="C1390" s="65" t="s">
        <v>45</v>
      </c>
      <c r="D1390" s="66">
        <f>SUM(D1389)</f>
        <v>51500000</v>
      </c>
      <c r="E1390" s="66">
        <v>0</v>
      </c>
      <c r="F1390" s="66">
        <v>0</v>
      </c>
      <c r="G1390" s="122">
        <v>0</v>
      </c>
      <c r="H1390" s="66">
        <v>0</v>
      </c>
      <c r="I1390" s="122">
        <v>0</v>
      </c>
      <c r="J1390" s="66">
        <v>0</v>
      </c>
      <c r="K1390" s="66">
        <f>SUM(K1389)</f>
        <v>0</v>
      </c>
      <c r="L1390" s="66">
        <v>0</v>
      </c>
      <c r="M1390" s="748"/>
    </row>
    <row r="1391" spans="1:13" ht="15.75" thickBot="1">
      <c r="A1391" s="166"/>
      <c r="B1391" s="167" t="s">
        <v>85</v>
      </c>
      <c r="C1391" s="106"/>
      <c r="D1391" s="107">
        <f>D1285+D1282</f>
        <v>3077095040</v>
      </c>
      <c r="E1391" s="107">
        <f>E1285+E1282</f>
        <v>0</v>
      </c>
      <c r="F1391" s="107">
        <f>F1285+F1282</f>
        <v>0</v>
      </c>
      <c r="G1391" s="107">
        <f>G1282+G1285</f>
        <v>2480139757</v>
      </c>
      <c r="H1391" s="213">
        <f>G1391/D1391*100</f>
        <v>80.600037527602652</v>
      </c>
      <c r="I1391" s="107">
        <f>I1285+I1282</f>
        <v>2480139757</v>
      </c>
      <c r="J1391" s="213">
        <f>I1391/D1391*100</f>
        <v>80.600037527602652</v>
      </c>
      <c r="K1391" s="674">
        <f>11/12</f>
        <v>0.91666666666666663</v>
      </c>
      <c r="L1391" s="213">
        <f>J1391</f>
        <v>80.600037527602652</v>
      </c>
      <c r="M1391" s="158"/>
    </row>
    <row r="1392" spans="1:13" ht="15.75" thickTop="1">
      <c r="A1392" s="342"/>
      <c r="B1392" s="343"/>
      <c r="C1392" s="344"/>
      <c r="D1392" s="773"/>
      <c r="E1392" s="345"/>
      <c r="F1392" s="345"/>
      <c r="G1392" s="711"/>
      <c r="H1392" s="529"/>
      <c r="I1392" s="667"/>
      <c r="J1392" s="346"/>
      <c r="K1392" s="347"/>
      <c r="L1392" s="346"/>
      <c r="M1392" s="348"/>
    </row>
    <row r="1393" spans="1:13">
      <c r="A1393" s="168"/>
      <c r="B1393" s="169"/>
      <c r="C1393" s="170"/>
      <c r="D1393" s="171"/>
      <c r="E1393" s="108"/>
      <c r="G1393" s="710"/>
      <c r="H1393" s="128"/>
      <c r="I1393" s="159" t="s">
        <v>572</v>
      </c>
      <c r="J1393" s="128"/>
      <c r="L1393" s="128"/>
      <c r="M1393" s="128"/>
    </row>
    <row r="1394" spans="1:13">
      <c r="A1394" s="172"/>
      <c r="B1394" s="169"/>
      <c r="C1394" s="173"/>
      <c r="D1394" s="171"/>
      <c r="E1394" s="174"/>
      <c r="H1394" s="128"/>
      <c r="I1394" s="159" t="s">
        <v>86</v>
      </c>
      <c r="J1394" s="128"/>
      <c r="L1394" s="128"/>
      <c r="M1394" s="128"/>
    </row>
    <row r="1395" spans="1:13">
      <c r="A1395" s="172"/>
      <c r="B1395" s="169"/>
      <c r="C1395" s="173"/>
      <c r="D1395" s="171"/>
      <c r="E1395" s="174"/>
      <c r="H1395" s="128"/>
      <c r="I1395" s="159"/>
      <c r="J1395" s="128"/>
      <c r="L1395" s="128"/>
      <c r="M1395" s="128"/>
    </row>
    <row r="1396" spans="1:13">
      <c r="A1396" s="172"/>
      <c r="B1396" s="169"/>
      <c r="C1396" s="173"/>
      <c r="D1396" s="171"/>
      <c r="E1396" s="108"/>
      <c r="H1396" s="128"/>
      <c r="I1396" s="159"/>
      <c r="J1396" s="128"/>
      <c r="L1396" s="128"/>
      <c r="M1396" s="128"/>
    </row>
    <row r="1397" spans="1:13">
      <c r="A1397" s="175"/>
      <c r="B1397" s="176"/>
      <c r="C1397" s="177"/>
      <c r="D1397" s="171"/>
      <c r="E1397" s="108"/>
      <c r="G1397" s="128" t="s">
        <v>227</v>
      </c>
      <c r="H1397" s="128"/>
      <c r="I1397" s="160" t="s">
        <v>120</v>
      </c>
      <c r="J1397" s="128"/>
      <c r="L1397" s="128"/>
      <c r="M1397" s="128"/>
    </row>
    <row r="1398" spans="1:13">
      <c r="A1398" s="175"/>
      <c r="B1398" s="176"/>
      <c r="C1398" s="177"/>
      <c r="D1398" s="175"/>
      <c r="E1398" s="108"/>
      <c r="H1398" s="128"/>
      <c r="I1398" s="159" t="s">
        <v>491</v>
      </c>
      <c r="J1398" s="128"/>
      <c r="L1398" s="128"/>
      <c r="M1398" s="128"/>
    </row>
    <row r="1399" spans="1:13">
      <c r="A1399" s="175"/>
      <c r="B1399" s="176"/>
      <c r="C1399" s="177"/>
      <c r="D1399" s="175"/>
      <c r="E1399" s="108"/>
      <c r="H1399" s="128"/>
      <c r="I1399" s="159" t="s">
        <v>121</v>
      </c>
      <c r="J1399" s="128"/>
      <c r="L1399" s="128"/>
      <c r="M1399" s="128"/>
    </row>
    <row r="1400" spans="1:13" ht="15.75">
      <c r="A1400" s="832" t="s">
        <v>223</v>
      </c>
      <c r="B1400" s="832"/>
      <c r="C1400" s="832"/>
      <c r="D1400" s="832"/>
      <c r="E1400" s="832"/>
      <c r="F1400" s="832"/>
      <c r="G1400" s="832"/>
      <c r="H1400" s="832"/>
      <c r="I1400" s="832"/>
      <c r="J1400" s="832"/>
      <c r="K1400" s="832"/>
      <c r="L1400" s="832"/>
      <c r="M1400" s="832"/>
    </row>
    <row r="1401" spans="1:13" ht="15.75">
      <c r="A1401" s="832" t="s">
        <v>224</v>
      </c>
      <c r="B1401" s="832"/>
      <c r="C1401" s="832"/>
      <c r="D1401" s="832"/>
      <c r="E1401" s="832"/>
      <c r="F1401" s="832"/>
      <c r="G1401" s="832"/>
      <c r="H1401" s="832"/>
      <c r="I1401" s="832"/>
      <c r="J1401" s="832"/>
      <c r="K1401" s="832"/>
      <c r="L1401" s="832"/>
      <c r="M1401" s="832"/>
    </row>
    <row r="1402" spans="1:13" ht="15.75">
      <c r="A1402" s="780"/>
      <c r="B1402" s="780"/>
      <c r="C1402" s="780"/>
      <c r="D1402" s="780"/>
      <c r="E1402" s="780"/>
      <c r="F1402" s="780"/>
      <c r="G1402" s="303"/>
      <c r="H1402" s="780"/>
      <c r="I1402" s="780"/>
      <c r="J1402" s="780"/>
      <c r="K1402" s="303"/>
      <c r="L1402" s="780"/>
      <c r="M1402" s="780"/>
    </row>
    <row r="1403" spans="1:13" ht="16.5">
      <c r="A1403" s="1" t="s">
        <v>213</v>
      </c>
      <c r="B1403" s="2"/>
      <c r="C1403" s="3" t="s">
        <v>2</v>
      </c>
      <c r="E1403" s="108"/>
      <c r="G1403" s="669"/>
      <c r="H1403" s="4"/>
      <c r="I1403" s="5"/>
      <c r="J1403" s="4"/>
      <c r="M1403" s="4"/>
    </row>
    <row r="1404" spans="1:13" ht="17.25" thickBot="1">
      <c r="A1404" s="14" t="s">
        <v>225</v>
      </c>
      <c r="B1404" s="14"/>
      <c r="C1404" s="292" t="s">
        <v>550</v>
      </c>
      <c r="D1404" s="129"/>
      <c r="E1404" s="109"/>
      <c r="F1404" s="129"/>
      <c r="G1404" s="305"/>
      <c r="H1404" s="14"/>
      <c r="I1404" s="16"/>
      <c r="J1404" s="14"/>
      <c r="K1404" s="129"/>
      <c r="L1404" s="15"/>
      <c r="M1404" s="14"/>
    </row>
    <row r="1405" spans="1:13" ht="15.75" thickTop="1">
      <c r="A1405" s="833" t="s">
        <v>3</v>
      </c>
      <c r="B1405" s="836" t="s">
        <v>4</v>
      </c>
      <c r="C1405" s="837"/>
      <c r="D1405" s="289" t="s">
        <v>5</v>
      </c>
      <c r="E1405" s="110" t="s">
        <v>6</v>
      </c>
      <c r="F1405" s="130"/>
      <c r="G1405" s="842" t="s">
        <v>7</v>
      </c>
      <c r="H1405" s="843"/>
      <c r="I1405" s="843"/>
      <c r="J1405" s="843"/>
      <c r="K1405" s="844" t="s">
        <v>8</v>
      </c>
      <c r="L1405" s="844"/>
      <c r="M1405" s="833" t="s">
        <v>9</v>
      </c>
    </row>
    <row r="1406" spans="1:13">
      <c r="A1406" s="834"/>
      <c r="B1406" s="838"/>
      <c r="C1406" s="839"/>
      <c r="D1406" s="290" t="s">
        <v>10</v>
      </c>
      <c r="E1406" s="111" t="s">
        <v>11</v>
      </c>
      <c r="F1406" s="111" t="s">
        <v>12</v>
      </c>
      <c r="G1406" s="111" t="s">
        <v>13</v>
      </c>
      <c r="H1406" s="845" t="s">
        <v>14</v>
      </c>
      <c r="I1406" s="6" t="s">
        <v>15</v>
      </c>
      <c r="J1406" s="846" t="s">
        <v>14</v>
      </c>
      <c r="K1406" s="321" t="s">
        <v>16</v>
      </c>
      <c r="L1406" s="7" t="s">
        <v>17</v>
      </c>
      <c r="M1406" s="834"/>
    </row>
    <row r="1407" spans="1:13">
      <c r="A1407" s="835"/>
      <c r="B1407" s="840"/>
      <c r="C1407" s="841"/>
      <c r="D1407" s="291" t="s">
        <v>18</v>
      </c>
      <c r="E1407" s="112" t="s">
        <v>18</v>
      </c>
      <c r="F1407" s="112"/>
      <c r="G1407" s="306" t="s">
        <v>19</v>
      </c>
      <c r="H1407" s="835"/>
      <c r="I1407" s="8" t="s">
        <v>19</v>
      </c>
      <c r="J1407" s="847"/>
      <c r="K1407" s="322" t="s">
        <v>233</v>
      </c>
      <c r="L1407" s="9" t="s">
        <v>233</v>
      </c>
      <c r="M1407" s="835"/>
    </row>
    <row r="1408" spans="1:13" ht="15.75" thickBot="1">
      <c r="A1408" s="17">
        <v>1</v>
      </c>
      <c r="B1408" s="828">
        <v>2</v>
      </c>
      <c r="C1408" s="829"/>
      <c r="D1408" s="113">
        <v>3</v>
      </c>
      <c r="E1408" s="113">
        <v>4</v>
      </c>
      <c r="F1408" s="113">
        <v>5</v>
      </c>
      <c r="G1408" s="113">
        <v>6</v>
      </c>
      <c r="H1408" s="18">
        <v>7</v>
      </c>
      <c r="I1408" s="18">
        <v>8</v>
      </c>
      <c r="J1408" s="18">
        <v>9</v>
      </c>
      <c r="K1408" s="113">
        <v>10</v>
      </c>
      <c r="L1408" s="18">
        <v>11</v>
      </c>
      <c r="M1408" s="18">
        <v>12</v>
      </c>
    </row>
    <row r="1409" spans="1:14" ht="15.75" thickBot="1">
      <c r="A1409" s="35" t="s">
        <v>20</v>
      </c>
      <c r="B1409" s="36" t="s">
        <v>21</v>
      </c>
      <c r="C1409" s="37"/>
      <c r="D1409" s="30">
        <f>D1410+D1411</f>
        <v>2162113000</v>
      </c>
      <c r="E1409" s="30">
        <f>E1410</f>
        <v>0</v>
      </c>
      <c r="F1409" s="30">
        <v>0</v>
      </c>
      <c r="G1409" s="30">
        <f>G1410+G1411</f>
        <v>1910133922</v>
      </c>
      <c r="H1409" s="214">
        <f>G1409/D1409*100</f>
        <v>88.345702652914071</v>
      </c>
      <c r="I1409" s="30">
        <f>G1409</f>
        <v>1910133922</v>
      </c>
      <c r="J1409" s="217">
        <f>I1409/D1409*100</f>
        <v>88.345702652914071</v>
      </c>
      <c r="K1409" s="332">
        <f>11/12</f>
        <v>0.91666666666666663</v>
      </c>
      <c r="L1409" s="215">
        <f>J1409</f>
        <v>88.345702652914071</v>
      </c>
      <c r="M1409" s="53"/>
    </row>
    <row r="1410" spans="1:14" ht="15.75" thickBot="1">
      <c r="A1410" s="38" t="s">
        <v>22</v>
      </c>
      <c r="B1410" s="39" t="s">
        <v>23</v>
      </c>
      <c r="C1410" s="40"/>
      <c r="D1410" s="31">
        <v>1747153000</v>
      </c>
      <c r="E1410" s="114">
        <v>0</v>
      </c>
      <c r="F1410" s="30">
        <v>0</v>
      </c>
      <c r="G1410" s="30">
        <v>1525447529</v>
      </c>
      <c r="H1410" s="214">
        <f>G1410/D1410*100</f>
        <v>87.310471893417457</v>
      </c>
      <c r="I1410" s="296">
        <f>G1410</f>
        <v>1525447529</v>
      </c>
      <c r="J1410" s="217">
        <f>I1410/D1410*100</f>
        <v>87.310471893417457</v>
      </c>
      <c r="K1410" s="332">
        <f>11/12</f>
        <v>0.91666666666666663</v>
      </c>
      <c r="L1410" s="215">
        <f>J1410</f>
        <v>87.310471893417457</v>
      </c>
      <c r="M1410" s="146"/>
      <c r="N1410" s="161">
        <f>D1410-G1410</f>
        <v>221705471</v>
      </c>
    </row>
    <row r="1411" spans="1:14" ht="15.75" thickBot="1">
      <c r="A1411" s="139"/>
      <c r="B1411" s="140" t="s">
        <v>107</v>
      </c>
      <c r="C1411" s="141"/>
      <c r="D1411" s="31">
        <v>414960000</v>
      </c>
      <c r="E1411" s="114">
        <v>0</v>
      </c>
      <c r="F1411" s="30">
        <v>0</v>
      </c>
      <c r="G1411" s="351">
        <f>294256818+90429575</f>
        <v>384686393</v>
      </c>
      <c r="H1411" s="214">
        <f>G1411/D1411*100</f>
        <v>92.704451754385957</v>
      </c>
      <c r="I1411" s="296">
        <f>G1411</f>
        <v>384686393</v>
      </c>
      <c r="J1411" s="217">
        <f>I1411/D1411*100</f>
        <v>92.704451754385957</v>
      </c>
      <c r="K1411" s="332">
        <f>11/12</f>
        <v>0.91666666666666663</v>
      </c>
      <c r="L1411" s="215">
        <f>J1411</f>
        <v>92.704451754385957</v>
      </c>
      <c r="M1411" s="149"/>
      <c r="N1411" s="161">
        <f>D1411-G1411</f>
        <v>30273607</v>
      </c>
    </row>
    <row r="1412" spans="1:14" ht="15.75" thickBot="1">
      <c r="A1412" s="35" t="s">
        <v>24</v>
      </c>
      <c r="B1412" s="36" t="s">
        <v>25</v>
      </c>
      <c r="C1412" s="37"/>
      <c r="D1412" s="30">
        <f>D1429+D1439+D1442+D1446+D1449+D1452+D1458+D1461+D1465+D1468+D1472+D1475+D1478+D1481+D1485+D1488+D1491+D1496+D1500+D1503+D1508+D1511+D1514+D1517</f>
        <v>914982040</v>
      </c>
      <c r="E1412" s="30">
        <v>0</v>
      </c>
      <c r="F1412" s="30">
        <v>0</v>
      </c>
      <c r="G1412" s="30">
        <f>G1429+G1439+G1468+G1472+G1488+G1491+G1478+G1481+G1485+G1500+G1452+G1465+G1496+G1449+G1446+G1475+G1461+G1458+G1503+G1514+G1508+51200000</f>
        <v>857391400</v>
      </c>
      <c r="H1412" s="215">
        <f>G1412/D1412*100</f>
        <v>93.705817438777274</v>
      </c>
      <c r="I1412" s="296">
        <f>G1412</f>
        <v>857391400</v>
      </c>
      <c r="J1412" s="217">
        <f>I1412/D1412*100</f>
        <v>93.705817438777274</v>
      </c>
      <c r="K1412" s="332">
        <f>11/12</f>
        <v>0.91666666666666663</v>
      </c>
      <c r="L1412" s="215">
        <f>J1412</f>
        <v>93.705817438777274</v>
      </c>
      <c r="M1412" s="30"/>
      <c r="N1412" s="161">
        <f>D1412-G1412</f>
        <v>57590640</v>
      </c>
    </row>
    <row r="1413" spans="1:14">
      <c r="A1413" s="41" t="s">
        <v>26</v>
      </c>
      <c r="B1413" s="42" t="s">
        <v>27</v>
      </c>
      <c r="C1413" s="43"/>
      <c r="D1413" s="32"/>
      <c r="E1413" s="115"/>
      <c r="F1413" s="32"/>
      <c r="G1413" s="150"/>
      <c r="H1413" s="151"/>
      <c r="I1413" s="191"/>
      <c r="J1413" s="150"/>
      <c r="K1413" s="32"/>
      <c r="L1413" s="32"/>
      <c r="M1413" s="32"/>
    </row>
    <row r="1414" spans="1:14">
      <c r="A1414" s="44"/>
      <c r="B1414" s="45" t="s">
        <v>26</v>
      </c>
      <c r="C1414" s="46" t="s">
        <v>28</v>
      </c>
      <c r="D1414" s="525">
        <v>6000000</v>
      </c>
      <c r="E1414" s="116">
        <v>0</v>
      </c>
      <c r="F1414" s="131">
        <v>0</v>
      </c>
      <c r="G1414" s="192">
        <f>999000+501000+250000+250000+250000+250000+249000+750000+765000</f>
        <v>4264000</v>
      </c>
      <c r="H1414" s="299">
        <f>G1414/D1414*100</f>
        <v>71.066666666666663</v>
      </c>
      <c r="I1414" s="192">
        <f>G1414</f>
        <v>4264000</v>
      </c>
      <c r="J1414" s="301">
        <f>H1414</f>
        <v>71.066666666666663</v>
      </c>
      <c r="K1414" s="331">
        <f>11/12</f>
        <v>0.91666666666666663</v>
      </c>
      <c r="L1414" s="311">
        <f>J1414</f>
        <v>71.066666666666663</v>
      </c>
      <c r="M1414" s="131"/>
    </row>
    <row r="1415" spans="1:14">
      <c r="A1415" s="44"/>
      <c r="B1415" s="47" t="s">
        <v>29</v>
      </c>
      <c r="C1415" s="48" t="s">
        <v>30</v>
      </c>
      <c r="D1415" s="34">
        <v>4000000</v>
      </c>
      <c r="E1415" s="297">
        <v>0</v>
      </c>
      <c r="F1415" s="132">
        <v>0</v>
      </c>
      <c r="G1415" s="192">
        <v>2526806</v>
      </c>
      <c r="H1415" s="299">
        <f t="shared" ref="H1415:H1416" si="541">G1415/D1415*100</f>
        <v>63.17015</v>
      </c>
      <c r="I1415" s="192">
        <f>G1415</f>
        <v>2526806</v>
      </c>
      <c r="J1415" s="301">
        <f>I1415/D1415*100</f>
        <v>63.17015</v>
      </c>
      <c r="K1415" s="331">
        <f t="shared" ref="K1415:K1427" si="542">11/12</f>
        <v>0.91666666666666663</v>
      </c>
      <c r="L1415" s="311">
        <f t="shared" ref="L1415:L1428" si="543">J1415</f>
        <v>63.17015</v>
      </c>
      <c r="M1415" s="132"/>
    </row>
    <row r="1416" spans="1:14">
      <c r="A1416" s="44"/>
      <c r="B1416" s="47" t="s">
        <v>29</v>
      </c>
      <c r="C1416" s="48" t="s">
        <v>31</v>
      </c>
      <c r="D1416" s="34">
        <v>5000000</v>
      </c>
      <c r="E1416" s="297">
        <v>0</v>
      </c>
      <c r="F1416" s="132">
        <v>0</v>
      </c>
      <c r="G1416" s="192">
        <v>3056350</v>
      </c>
      <c r="H1416" s="299">
        <f t="shared" si="541"/>
        <v>61.126999999999995</v>
      </c>
      <c r="I1416" s="192">
        <f t="shared" ref="I1416:I1417" si="544">G1416</f>
        <v>3056350</v>
      </c>
      <c r="J1416" s="301">
        <f t="shared" ref="J1416:J1425" si="545">I1416/D1416*100</f>
        <v>61.126999999999995</v>
      </c>
      <c r="K1416" s="331">
        <f t="shared" si="542"/>
        <v>0.91666666666666663</v>
      </c>
      <c r="L1416" s="311">
        <f t="shared" si="543"/>
        <v>61.126999999999995</v>
      </c>
      <c r="M1416" s="132"/>
    </row>
    <row r="1417" spans="1:14">
      <c r="A1417" s="44"/>
      <c r="B1417" s="47" t="s">
        <v>29</v>
      </c>
      <c r="C1417" s="48" t="s">
        <v>32</v>
      </c>
      <c r="D1417" s="34">
        <v>8000000</v>
      </c>
      <c r="E1417" s="297">
        <v>0</v>
      </c>
      <c r="F1417" s="132">
        <v>0</v>
      </c>
      <c r="G1417" s="192">
        <v>6782764</v>
      </c>
      <c r="H1417" s="299">
        <f>G1417/D1417*100</f>
        <v>84.784549999999996</v>
      </c>
      <c r="I1417" s="192">
        <f t="shared" si="544"/>
        <v>6782764</v>
      </c>
      <c r="J1417" s="301">
        <f t="shared" si="545"/>
        <v>84.784549999999996</v>
      </c>
      <c r="K1417" s="331">
        <f t="shared" si="542"/>
        <v>0.91666666666666663</v>
      </c>
      <c r="L1417" s="311">
        <f t="shared" si="543"/>
        <v>84.784549999999996</v>
      </c>
      <c r="M1417" s="132"/>
    </row>
    <row r="1418" spans="1:14">
      <c r="A1418" s="44"/>
      <c r="B1418" s="47" t="s">
        <v>33</v>
      </c>
      <c r="C1418" s="48" t="s">
        <v>34</v>
      </c>
      <c r="D1418" s="34">
        <v>12105000</v>
      </c>
      <c r="E1418" s="117">
        <v>0</v>
      </c>
      <c r="F1418" s="132">
        <v>0</v>
      </c>
      <c r="G1418" s="192">
        <v>11000000</v>
      </c>
      <c r="H1418" s="299">
        <f t="shared" ref="H1418:H1428" si="546">G1418/D1418*100</f>
        <v>90.871540685667085</v>
      </c>
      <c r="I1418" s="192">
        <f>G1418</f>
        <v>11000000</v>
      </c>
      <c r="J1418" s="301">
        <f t="shared" si="545"/>
        <v>90.871540685667085</v>
      </c>
      <c r="K1418" s="331">
        <f t="shared" si="542"/>
        <v>0.91666666666666663</v>
      </c>
      <c r="L1418" s="311">
        <f t="shared" si="543"/>
        <v>90.871540685667085</v>
      </c>
      <c r="M1418" s="132"/>
    </row>
    <row r="1419" spans="1:14">
      <c r="A1419" s="44"/>
      <c r="B1419" s="47">
        <v>10</v>
      </c>
      <c r="C1419" s="48" t="s">
        <v>35</v>
      </c>
      <c r="D1419" s="34">
        <v>11895000</v>
      </c>
      <c r="E1419" s="117">
        <v>0</v>
      </c>
      <c r="F1419" s="132">
        <v>0</v>
      </c>
      <c r="G1419" s="192">
        <f>1500000+1000000+1000000+2250000+1000000+750000+2900000+550000</f>
        <v>10950000</v>
      </c>
      <c r="H1419" s="299">
        <f t="shared" si="546"/>
        <v>92.055485498108453</v>
      </c>
      <c r="I1419" s="192">
        <f t="shared" ref="I1419:I1422" si="547">G1419</f>
        <v>10950000</v>
      </c>
      <c r="J1419" s="301">
        <f t="shared" si="545"/>
        <v>92.055485498108453</v>
      </c>
      <c r="K1419" s="331">
        <f t="shared" si="542"/>
        <v>0.91666666666666663</v>
      </c>
      <c r="L1419" s="311">
        <f t="shared" si="543"/>
        <v>92.055485498108453</v>
      </c>
      <c r="M1419" s="132"/>
    </row>
    <row r="1420" spans="1:14">
      <c r="A1420" s="44"/>
      <c r="B1420" s="47">
        <v>11</v>
      </c>
      <c r="C1420" s="48" t="s">
        <v>36</v>
      </c>
      <c r="D1420" s="34">
        <v>6000000</v>
      </c>
      <c r="E1420" s="117">
        <v>0</v>
      </c>
      <c r="F1420" s="132">
        <v>0</v>
      </c>
      <c r="G1420" s="192">
        <f>1000000+500000+750000+1700000+200000+350000+500000+ 250000</f>
        <v>5250000</v>
      </c>
      <c r="H1420" s="299">
        <f t="shared" si="546"/>
        <v>87.5</v>
      </c>
      <c r="I1420" s="192">
        <f t="shared" si="547"/>
        <v>5250000</v>
      </c>
      <c r="J1420" s="301">
        <f t="shared" si="545"/>
        <v>87.5</v>
      </c>
      <c r="K1420" s="331">
        <f t="shared" si="542"/>
        <v>0.91666666666666663</v>
      </c>
      <c r="L1420" s="311">
        <f t="shared" si="543"/>
        <v>87.5</v>
      </c>
      <c r="M1420" s="132"/>
    </row>
    <row r="1421" spans="1:14">
      <c r="A1421" s="44"/>
      <c r="B1421" s="47">
        <v>11</v>
      </c>
      <c r="C1421" s="48" t="s">
        <v>37</v>
      </c>
      <c r="D1421" s="34">
        <v>18000000</v>
      </c>
      <c r="E1421" s="117">
        <v>0</v>
      </c>
      <c r="F1421" s="132">
        <v>0</v>
      </c>
      <c r="G1421" s="192">
        <f>2525600+17850+34600+34000+2524800+370000+297800+11600000+140000</f>
        <v>17544650</v>
      </c>
      <c r="H1421" s="299">
        <f t="shared" si="546"/>
        <v>97.470277777777781</v>
      </c>
      <c r="I1421" s="192">
        <f t="shared" si="547"/>
        <v>17544650</v>
      </c>
      <c r="J1421" s="301">
        <f t="shared" si="545"/>
        <v>97.470277777777781</v>
      </c>
      <c r="K1421" s="331">
        <f t="shared" si="542"/>
        <v>0.91666666666666663</v>
      </c>
      <c r="L1421" s="311">
        <f t="shared" si="543"/>
        <v>97.470277777777781</v>
      </c>
      <c r="M1421" s="132"/>
    </row>
    <row r="1422" spans="1:14">
      <c r="A1422" s="44"/>
      <c r="B1422" s="47">
        <v>12</v>
      </c>
      <c r="C1422" s="48" t="s">
        <v>38</v>
      </c>
      <c r="D1422" s="34">
        <v>5000000</v>
      </c>
      <c r="E1422" s="117">
        <v>0</v>
      </c>
      <c r="F1422" s="132">
        <v>0</v>
      </c>
      <c r="G1422" s="192">
        <v>5000000</v>
      </c>
      <c r="H1422" s="299">
        <f t="shared" si="546"/>
        <v>100</v>
      </c>
      <c r="I1422" s="192">
        <f t="shared" si="547"/>
        <v>5000000</v>
      </c>
      <c r="J1422" s="301">
        <f t="shared" si="545"/>
        <v>100</v>
      </c>
      <c r="K1422" s="331">
        <f t="shared" si="542"/>
        <v>0.91666666666666663</v>
      </c>
      <c r="L1422" s="311">
        <f t="shared" si="543"/>
        <v>100</v>
      </c>
      <c r="M1422" s="132"/>
    </row>
    <row r="1423" spans="1:14">
      <c r="A1423" s="44"/>
      <c r="B1423" s="47">
        <v>13</v>
      </c>
      <c r="C1423" s="48" t="s">
        <v>39</v>
      </c>
      <c r="D1423" s="34">
        <v>5000000</v>
      </c>
      <c r="E1423" s="117">
        <v>0</v>
      </c>
      <c r="F1423" s="132">
        <v>0</v>
      </c>
      <c r="G1423" s="192">
        <f>1000000+250000+500000+745000+750000+500000+700000+555000</f>
        <v>5000000</v>
      </c>
      <c r="H1423" s="299">
        <f t="shared" si="546"/>
        <v>100</v>
      </c>
      <c r="I1423" s="192">
        <f>G1423</f>
        <v>5000000</v>
      </c>
      <c r="J1423" s="301">
        <f t="shared" si="545"/>
        <v>100</v>
      </c>
      <c r="K1423" s="331">
        <f t="shared" si="542"/>
        <v>0.91666666666666663</v>
      </c>
      <c r="L1423" s="311">
        <f t="shared" si="543"/>
        <v>100</v>
      </c>
      <c r="M1423" s="132"/>
    </row>
    <row r="1424" spans="1:14">
      <c r="A1424" s="44"/>
      <c r="B1424" s="47">
        <v>15</v>
      </c>
      <c r="C1424" s="48" t="s">
        <v>40</v>
      </c>
      <c r="D1424" s="34">
        <v>3000000</v>
      </c>
      <c r="E1424" s="117">
        <v>0</v>
      </c>
      <c r="F1424" s="132">
        <v>0</v>
      </c>
      <c r="G1424" s="192">
        <f>260000+140000+260000+140000+120000+120000+240000+140000</f>
        <v>1420000</v>
      </c>
      <c r="H1424" s="299">
        <f t="shared" si="546"/>
        <v>47.333333333333336</v>
      </c>
      <c r="I1424" s="192">
        <f t="shared" ref="I1424:I1425" si="548">G1424</f>
        <v>1420000</v>
      </c>
      <c r="J1424" s="301">
        <f t="shared" si="545"/>
        <v>47.333333333333336</v>
      </c>
      <c r="K1424" s="331">
        <f t="shared" si="542"/>
        <v>0.91666666666666663</v>
      </c>
      <c r="L1424" s="311">
        <f t="shared" si="543"/>
        <v>47.333333333333336</v>
      </c>
      <c r="M1424" s="132"/>
    </row>
    <row r="1425" spans="1:14">
      <c r="A1425" s="44"/>
      <c r="B1425" s="47">
        <v>17</v>
      </c>
      <c r="C1425" s="48" t="s">
        <v>41</v>
      </c>
      <c r="D1425" s="34">
        <v>6249040</v>
      </c>
      <c r="E1425" s="117">
        <v>0</v>
      </c>
      <c r="F1425" s="132">
        <v>0</v>
      </c>
      <c r="G1425" s="192">
        <f>1000000+250000+750000+650000+900000+950000+700000</f>
        <v>5200000</v>
      </c>
      <c r="H1425" s="299">
        <f t="shared" si="546"/>
        <v>83.212781483235815</v>
      </c>
      <c r="I1425" s="192">
        <f t="shared" si="548"/>
        <v>5200000</v>
      </c>
      <c r="J1425" s="301">
        <f t="shared" si="545"/>
        <v>83.212781483235815</v>
      </c>
      <c r="K1425" s="331">
        <f t="shared" si="542"/>
        <v>0.91666666666666663</v>
      </c>
      <c r="L1425" s="311">
        <f t="shared" si="543"/>
        <v>83.212781483235815</v>
      </c>
      <c r="M1425" s="132"/>
    </row>
    <row r="1426" spans="1:14">
      <c r="A1426" s="44"/>
      <c r="B1426" s="47">
        <v>17</v>
      </c>
      <c r="C1426" s="48" t="s">
        <v>42</v>
      </c>
      <c r="D1426" s="34">
        <v>9200000</v>
      </c>
      <c r="E1426" s="117">
        <v>0</v>
      </c>
      <c r="F1426" s="132">
        <v>0</v>
      </c>
      <c r="G1426" s="192">
        <f>1200000+400000+1800000+760000+760000+760000</f>
        <v>5680000</v>
      </c>
      <c r="H1426" s="299">
        <f t="shared" si="546"/>
        <v>61.739130434782609</v>
      </c>
      <c r="I1426" s="192">
        <f>G1426</f>
        <v>5680000</v>
      </c>
      <c r="J1426" s="301">
        <f>I1426/D1426*100</f>
        <v>61.739130434782609</v>
      </c>
      <c r="K1426" s="331">
        <f t="shared" si="542"/>
        <v>0.91666666666666663</v>
      </c>
      <c r="L1426" s="311">
        <f t="shared" si="543"/>
        <v>61.739130434782609</v>
      </c>
      <c r="M1426" s="132"/>
    </row>
    <row r="1427" spans="1:14">
      <c r="A1427" s="44"/>
      <c r="B1427" s="47">
        <v>18</v>
      </c>
      <c r="C1427" s="48" t="s">
        <v>43</v>
      </c>
      <c r="D1427" s="34">
        <v>20528000</v>
      </c>
      <c r="E1427" s="117">
        <v>0</v>
      </c>
      <c r="F1427" s="132">
        <v>0</v>
      </c>
      <c r="G1427" s="192">
        <v>13400000</v>
      </c>
      <c r="H1427" s="299">
        <f t="shared" si="546"/>
        <v>65.276695245518312</v>
      </c>
      <c r="I1427" s="192">
        <f>G1427</f>
        <v>13400000</v>
      </c>
      <c r="J1427" s="301">
        <f t="shared" ref="J1427:J1428" si="549">I1427/D1427*100</f>
        <v>65.276695245518312</v>
      </c>
      <c r="K1427" s="331">
        <f t="shared" si="542"/>
        <v>0.91666666666666663</v>
      </c>
      <c r="L1427" s="311">
        <f t="shared" si="543"/>
        <v>65.276695245518312</v>
      </c>
      <c r="M1427" s="132"/>
    </row>
    <row r="1428" spans="1:14" ht="15.75" thickBot="1">
      <c r="A1428" s="44"/>
      <c r="B1428" s="49">
        <v>19</v>
      </c>
      <c r="C1428" s="50" t="s">
        <v>44</v>
      </c>
      <c r="D1428" s="51">
        <v>57547000</v>
      </c>
      <c r="E1428" s="298"/>
      <c r="F1428" s="133">
        <v>0</v>
      </c>
      <c r="G1428" s="192">
        <f>37089000+4242000+7706000+7250000+456000+36480+45600</f>
        <v>56825080</v>
      </c>
      <c r="H1428" s="300">
        <f t="shared" si="546"/>
        <v>98.745512363806981</v>
      </c>
      <c r="I1428" s="192">
        <f t="shared" ref="I1428" si="550">G1428</f>
        <v>56825080</v>
      </c>
      <c r="J1428" s="301">
        <f t="shared" si="549"/>
        <v>98.745512363806981</v>
      </c>
      <c r="K1428" s="331">
        <f>11/12</f>
        <v>0.91666666666666663</v>
      </c>
      <c r="L1428" s="311">
        <f t="shared" si="543"/>
        <v>98.745512363806981</v>
      </c>
      <c r="M1428" s="133"/>
      <c r="N1428" s="161">
        <f>D1428-G1428</f>
        <v>721920</v>
      </c>
    </row>
    <row r="1429" spans="1:14" ht="15.75" thickBot="1">
      <c r="A1429" s="35"/>
      <c r="B1429" s="52"/>
      <c r="C1429" s="37" t="s">
        <v>45</v>
      </c>
      <c r="D1429" s="53">
        <f>SUM(D1414:D1428)</f>
        <v>177524040</v>
      </c>
      <c r="E1429" s="53">
        <f>SUM(E1414:E1428)</f>
        <v>0</v>
      </c>
      <c r="F1429" s="53">
        <f t="shared" ref="F1429" si="551">SUM(F1414:F1428)</f>
        <v>0</v>
      </c>
      <c r="G1429" s="53">
        <f>SUM(G1414:G1428)</f>
        <v>153899650</v>
      </c>
      <c r="H1429" s="214">
        <f>G1429/D1429*100</f>
        <v>86.692286858726291</v>
      </c>
      <c r="I1429" s="194">
        <f t="shared" ref="I1429" si="552">SUM(I1414:I1428)</f>
        <v>153899650</v>
      </c>
      <c r="J1429" s="214">
        <f>I1429/D1429*100</f>
        <v>86.692286858726291</v>
      </c>
      <c r="K1429" s="332">
        <f>11/12</f>
        <v>0.91666666666666663</v>
      </c>
      <c r="L1429" s="214">
        <f>J1429</f>
        <v>86.692286858726291</v>
      </c>
      <c r="M1429" s="746"/>
    </row>
    <row r="1430" spans="1:14">
      <c r="A1430" s="54" t="s">
        <v>29</v>
      </c>
      <c r="B1430" s="55" t="s">
        <v>90</v>
      </c>
      <c r="C1430" s="56"/>
      <c r="D1430" s="57"/>
      <c r="E1430" s="119"/>
      <c r="F1430" s="131"/>
      <c r="G1430" s="152"/>
      <c r="H1430" s="152"/>
      <c r="I1430" s="119"/>
      <c r="J1430" s="152"/>
      <c r="K1430" s="152"/>
      <c r="L1430" s="152"/>
      <c r="M1430" s="131"/>
    </row>
    <row r="1431" spans="1:14">
      <c r="A1431" s="279"/>
      <c r="B1431" s="47" t="s">
        <v>53</v>
      </c>
      <c r="C1431" s="46" t="s">
        <v>216</v>
      </c>
      <c r="D1431" s="80">
        <v>40000000</v>
      </c>
      <c r="E1431" s="119"/>
      <c r="F1431" s="131"/>
      <c r="G1431" s="152">
        <v>40000000</v>
      </c>
      <c r="H1431" s="299">
        <f t="shared" ref="H1431:H1435" si="553">G1431/D1431*100</f>
        <v>100</v>
      </c>
      <c r="I1431" s="119">
        <f>G1431</f>
        <v>40000000</v>
      </c>
      <c r="J1431" s="301">
        <f t="shared" ref="J1431:J1435" si="554">I1431/D1431*100</f>
        <v>100</v>
      </c>
      <c r="K1431" s="331">
        <f>11/12</f>
        <v>0.91666666666666663</v>
      </c>
      <c r="L1431" s="311">
        <f t="shared" ref="L1431" si="555">J1431</f>
        <v>100</v>
      </c>
      <c r="M1431" s="131"/>
    </row>
    <row r="1432" spans="1:14">
      <c r="A1432" s="44"/>
      <c r="B1432" s="47" t="s">
        <v>46</v>
      </c>
      <c r="C1432" s="58" t="s">
        <v>110</v>
      </c>
      <c r="D1432" s="59">
        <v>19000000</v>
      </c>
      <c r="E1432" s="120">
        <v>0</v>
      </c>
      <c r="F1432" s="132">
        <v>0</v>
      </c>
      <c r="G1432" s="119">
        <v>18975000</v>
      </c>
      <c r="H1432" s="299">
        <f t="shared" si="553"/>
        <v>99.868421052631589</v>
      </c>
      <c r="I1432" s="119">
        <f>G1432</f>
        <v>18975000</v>
      </c>
      <c r="J1432" s="301">
        <f t="shared" si="554"/>
        <v>99.868421052631589</v>
      </c>
      <c r="K1432" s="331">
        <f t="shared" ref="K1432:K1437" si="556">11/12</f>
        <v>0.91666666666666663</v>
      </c>
      <c r="L1432" s="311">
        <f>J1432</f>
        <v>99.868421052631589</v>
      </c>
      <c r="M1432" s="132"/>
    </row>
    <row r="1433" spans="1:14">
      <c r="A1433" s="44"/>
      <c r="B1433" s="47">
        <v>21</v>
      </c>
      <c r="C1433" s="48" t="s">
        <v>47</v>
      </c>
      <c r="D1433" s="59">
        <v>30000000</v>
      </c>
      <c r="E1433" s="120">
        <v>0</v>
      </c>
      <c r="F1433" s="132">
        <v>0</v>
      </c>
      <c r="G1433" s="206">
        <v>30000000</v>
      </c>
      <c r="H1433" s="299">
        <f t="shared" si="553"/>
        <v>100</v>
      </c>
      <c r="I1433" s="119">
        <f t="shared" ref="I1433:I1434" si="557">G1433</f>
        <v>30000000</v>
      </c>
      <c r="J1433" s="301">
        <f t="shared" si="554"/>
        <v>100</v>
      </c>
      <c r="K1433" s="331">
        <f t="shared" si="556"/>
        <v>0.91666666666666663</v>
      </c>
      <c r="L1433" s="311">
        <f>J1433</f>
        <v>100</v>
      </c>
      <c r="M1433" s="132"/>
    </row>
    <row r="1434" spans="1:14">
      <c r="A1434" s="44"/>
      <c r="B1434" s="47">
        <v>22</v>
      </c>
      <c r="C1434" s="48" t="s">
        <v>574</v>
      </c>
      <c r="D1434" s="60">
        <v>33000000</v>
      </c>
      <c r="E1434" s="120">
        <v>0</v>
      </c>
      <c r="F1434" s="132">
        <v>0</v>
      </c>
      <c r="G1434" s="206">
        <v>33000000</v>
      </c>
      <c r="H1434" s="299">
        <f t="shared" si="553"/>
        <v>100</v>
      </c>
      <c r="I1434" s="119">
        <f t="shared" si="557"/>
        <v>33000000</v>
      </c>
      <c r="J1434" s="301">
        <f t="shared" si="554"/>
        <v>100</v>
      </c>
      <c r="K1434" s="331">
        <f t="shared" si="556"/>
        <v>0.91666666666666663</v>
      </c>
      <c r="L1434" s="311">
        <f t="shared" ref="L1434" si="558">J1434</f>
        <v>100</v>
      </c>
      <c r="M1434" s="154"/>
    </row>
    <row r="1435" spans="1:14">
      <c r="A1435" s="44"/>
      <c r="B1435" s="47">
        <v>24</v>
      </c>
      <c r="C1435" s="48" t="s">
        <v>49</v>
      </c>
      <c r="D1435" s="60">
        <v>36000000</v>
      </c>
      <c r="E1435" s="120">
        <v>0</v>
      </c>
      <c r="F1435" s="132">
        <v>0</v>
      </c>
      <c r="G1435" s="206">
        <f>6051250+1700000+2418000+4557000+2750000+2922500+4902000+2533000</f>
        <v>27833750</v>
      </c>
      <c r="H1435" s="299">
        <f t="shared" si="553"/>
        <v>77.315972222222214</v>
      </c>
      <c r="I1435" s="192">
        <f>G1435</f>
        <v>27833750</v>
      </c>
      <c r="J1435" s="301">
        <f t="shared" si="554"/>
        <v>77.315972222222214</v>
      </c>
      <c r="K1435" s="331">
        <f t="shared" si="556"/>
        <v>0.91666666666666663</v>
      </c>
      <c r="L1435" s="311">
        <f>J1435</f>
        <v>77.315972222222214</v>
      </c>
      <c r="M1435" s="132"/>
    </row>
    <row r="1436" spans="1:14">
      <c r="A1436" s="44"/>
      <c r="B1436" s="47">
        <v>26</v>
      </c>
      <c r="C1436" s="48" t="s">
        <v>50</v>
      </c>
      <c r="D1436" s="60">
        <v>4000000</v>
      </c>
      <c r="E1436" s="120">
        <v>0</v>
      </c>
      <c r="F1436" s="132">
        <v>0</v>
      </c>
      <c r="G1436" s="206">
        <v>3500000</v>
      </c>
      <c r="H1436" s="299">
        <f>G1436/D1436*100</f>
        <v>87.5</v>
      </c>
      <c r="I1436" s="192">
        <f>G1436</f>
        <v>3500000</v>
      </c>
      <c r="J1436" s="301">
        <f>I1436/D1436*100</f>
        <v>87.5</v>
      </c>
      <c r="K1436" s="331">
        <f t="shared" si="556"/>
        <v>0.91666666666666663</v>
      </c>
      <c r="L1436" s="311">
        <f t="shared" ref="L1436:L1438" si="559">J1436</f>
        <v>87.5</v>
      </c>
      <c r="M1436" s="132"/>
    </row>
    <row r="1437" spans="1:14">
      <c r="A1437" s="44"/>
      <c r="B1437" s="47">
        <v>28</v>
      </c>
      <c r="C1437" s="48" t="s">
        <v>51</v>
      </c>
      <c r="D1437" s="60">
        <v>12000000</v>
      </c>
      <c r="E1437" s="120">
        <v>0</v>
      </c>
      <c r="F1437" s="132">
        <v>0</v>
      </c>
      <c r="G1437" s="206">
        <f>300000+300000+2250000+1000000+400000+1250000+500000+750000+200000+950000+2250000</f>
        <v>10150000</v>
      </c>
      <c r="H1437" s="299">
        <f t="shared" ref="H1437" si="560">G1437/D1437*100</f>
        <v>84.583333333333329</v>
      </c>
      <c r="I1437" s="192">
        <f>G1437</f>
        <v>10150000</v>
      </c>
      <c r="J1437" s="301">
        <f>I1437/D1437*100</f>
        <v>84.583333333333329</v>
      </c>
      <c r="K1437" s="331">
        <f t="shared" si="556"/>
        <v>0.91666666666666663</v>
      </c>
      <c r="L1437" s="311">
        <f t="shared" si="559"/>
        <v>84.583333333333329</v>
      </c>
      <c r="M1437" s="132"/>
    </row>
    <row r="1438" spans="1:14">
      <c r="A1438" s="44"/>
      <c r="B1438" s="61">
        <v>29</v>
      </c>
      <c r="C1438" s="50" t="s">
        <v>52</v>
      </c>
      <c r="D1438" s="62">
        <v>2000000</v>
      </c>
      <c r="E1438" s="121">
        <v>0</v>
      </c>
      <c r="F1438" s="133">
        <v>0</v>
      </c>
      <c r="G1438" s="197">
        <f>200000+100000+390000+350000+460000</f>
        <v>1500000</v>
      </c>
      <c r="H1438" s="312">
        <f>G1438/D1438*100</f>
        <v>75</v>
      </c>
      <c r="I1438" s="313">
        <f t="shared" ref="I1438" si="561">G1438</f>
        <v>1500000</v>
      </c>
      <c r="J1438" s="314">
        <f t="shared" ref="J1438" si="562">I1438/D1438*100</f>
        <v>75</v>
      </c>
      <c r="K1438" s="331">
        <f>11/12</f>
        <v>0.91666666666666663</v>
      </c>
      <c r="L1438" s="311">
        <f t="shared" si="559"/>
        <v>75</v>
      </c>
      <c r="M1438" s="133"/>
    </row>
    <row r="1439" spans="1:14">
      <c r="A1439" s="63"/>
      <c r="B1439" s="64"/>
      <c r="C1439" s="65" t="s">
        <v>45</v>
      </c>
      <c r="D1439" s="66">
        <f>SUM(D1431:D1438)</f>
        <v>176000000</v>
      </c>
      <c r="E1439" s="122"/>
      <c r="F1439" s="66"/>
      <c r="G1439" s="285">
        <f>SUM(G1431:G1438)</f>
        <v>164958750</v>
      </c>
      <c r="H1439" s="323">
        <f>G1439/D1439*100</f>
        <v>93.7265625</v>
      </c>
      <c r="I1439" s="286">
        <f>SUM(I1431:I1438)</f>
        <v>164958750</v>
      </c>
      <c r="J1439" s="323">
        <f>I1439/D1439*100</f>
        <v>93.7265625</v>
      </c>
      <c r="K1439" s="333">
        <f>11/12</f>
        <v>0.91666666666666663</v>
      </c>
      <c r="L1439" s="302">
        <f>J1439</f>
        <v>93.7265625</v>
      </c>
      <c r="M1439" s="748"/>
    </row>
    <row r="1440" spans="1:14">
      <c r="A1440" s="67" t="s">
        <v>53</v>
      </c>
      <c r="B1440" s="68" t="s">
        <v>54</v>
      </c>
      <c r="C1440" s="69"/>
      <c r="D1440" s="70"/>
      <c r="E1440" s="123"/>
      <c r="F1440" s="134"/>
      <c r="G1440" s="164"/>
      <c r="H1440" s="148"/>
      <c r="I1440" s="164"/>
      <c r="J1440" s="152"/>
      <c r="K1440" s="152"/>
      <c r="L1440" s="156"/>
      <c r="M1440" s="134"/>
    </row>
    <row r="1441" spans="1:13">
      <c r="A1441" s="44"/>
      <c r="B1441" s="47" t="s">
        <v>26</v>
      </c>
      <c r="C1441" s="48" t="s">
        <v>55</v>
      </c>
      <c r="D1441" s="60">
        <v>15000000</v>
      </c>
      <c r="E1441" s="120">
        <v>0</v>
      </c>
      <c r="F1441" s="208">
        <v>0</v>
      </c>
      <c r="G1441" s="197" t="s">
        <v>132</v>
      </c>
      <c r="H1441" s="59" t="s">
        <v>132</v>
      </c>
      <c r="I1441" s="197" t="s">
        <v>132</v>
      </c>
      <c r="J1441" s="59" t="s">
        <v>132</v>
      </c>
      <c r="K1441" s="59">
        <v>0</v>
      </c>
      <c r="L1441" s="59">
        <v>0</v>
      </c>
      <c r="M1441" s="132"/>
    </row>
    <row r="1442" spans="1:13">
      <c r="A1442" s="63"/>
      <c r="B1442" s="71"/>
      <c r="C1442" s="65" t="s">
        <v>45</v>
      </c>
      <c r="D1442" s="66">
        <f>SUM(D1441:D1441)</f>
        <v>15000000</v>
      </c>
      <c r="E1442" s="122">
        <f>SUM(E1441:E1441)</f>
        <v>0</v>
      </c>
      <c r="F1442" s="202">
        <f>SUM(F1441:F1441)</f>
        <v>0</v>
      </c>
      <c r="G1442" s="122" t="s">
        <v>132</v>
      </c>
      <c r="H1442" s="66" t="s">
        <v>132</v>
      </c>
      <c r="I1442" s="122" t="s">
        <v>132</v>
      </c>
      <c r="J1442" s="155" t="s">
        <v>132</v>
      </c>
      <c r="K1442" s="66">
        <f>SUM(K1441:K1441)</f>
        <v>0</v>
      </c>
      <c r="L1442" s="66">
        <f>SUM(L1441:L1441)</f>
        <v>0</v>
      </c>
      <c r="M1442" s="748"/>
    </row>
    <row r="1443" spans="1:13">
      <c r="A1443" s="44">
        <v>15</v>
      </c>
      <c r="B1443" s="72" t="s">
        <v>61</v>
      </c>
      <c r="C1443" s="73"/>
      <c r="D1443" s="57"/>
      <c r="E1443" s="119"/>
      <c r="F1443" s="209"/>
      <c r="G1443" s="119" t="s">
        <v>132</v>
      </c>
      <c r="H1443" s="152" t="s">
        <v>132</v>
      </c>
      <c r="I1443" s="119" t="s">
        <v>132</v>
      </c>
      <c r="J1443" s="152" t="s">
        <v>132</v>
      </c>
      <c r="K1443" s="152"/>
      <c r="L1443" s="152"/>
      <c r="M1443" s="131"/>
    </row>
    <row r="1444" spans="1:13">
      <c r="A1444" s="44"/>
      <c r="B1444" s="47">
        <v>18</v>
      </c>
      <c r="C1444" s="48" t="s">
        <v>62</v>
      </c>
      <c r="D1444" s="60">
        <v>5000000</v>
      </c>
      <c r="E1444" s="120">
        <v>0</v>
      </c>
      <c r="F1444" s="208">
        <v>0</v>
      </c>
      <c r="G1444" s="120">
        <v>5000000</v>
      </c>
      <c r="H1444" s="299">
        <f t="shared" ref="H1444:H1445" si="563">G1444/D1444*100</f>
        <v>100</v>
      </c>
      <c r="I1444" s="120">
        <f>G1444</f>
        <v>5000000</v>
      </c>
      <c r="J1444" s="301">
        <f>I1444/D1444*100</f>
        <v>100</v>
      </c>
      <c r="K1444" s="331">
        <f>11/12</f>
        <v>0.91666666666666663</v>
      </c>
      <c r="L1444" s="301">
        <f>J1444</f>
        <v>100</v>
      </c>
      <c r="M1444" s="132"/>
    </row>
    <row r="1445" spans="1:13" ht="25.5">
      <c r="A1445" s="44"/>
      <c r="B1445" s="49">
        <v>63</v>
      </c>
      <c r="C1445" s="244" t="s">
        <v>63</v>
      </c>
      <c r="D1445" s="62">
        <v>5000000</v>
      </c>
      <c r="E1445" s="121">
        <v>0</v>
      </c>
      <c r="F1445" s="210">
        <v>0</v>
      </c>
      <c r="G1445" s="121">
        <v>5000000</v>
      </c>
      <c r="H1445" s="300">
        <f t="shared" si="563"/>
        <v>100</v>
      </c>
      <c r="I1445" s="120">
        <f>G1445</f>
        <v>5000000</v>
      </c>
      <c r="J1445" s="314">
        <f>I1445/D1445*100</f>
        <v>100</v>
      </c>
      <c r="K1445" s="331">
        <f>11/12</f>
        <v>0.91666666666666663</v>
      </c>
      <c r="L1445" s="528">
        <f>J1445</f>
        <v>100</v>
      </c>
      <c r="M1445" s="133"/>
    </row>
    <row r="1446" spans="1:13">
      <c r="A1446" s="63"/>
      <c r="B1446" s="64"/>
      <c r="C1446" s="65" t="s">
        <v>45</v>
      </c>
      <c r="D1446" s="66">
        <f>SUM(D1444:D1445)</f>
        <v>10000000</v>
      </c>
      <c r="E1446" s="122">
        <f t="shared" ref="E1446" si="564">SUM(E1444:E1445)</f>
        <v>0</v>
      </c>
      <c r="F1446" s="202">
        <f>SUM(F1444:F1445)</f>
        <v>0</v>
      </c>
      <c r="G1446" s="195">
        <f>SUM(G1444:G1445)</f>
        <v>10000000</v>
      </c>
      <c r="H1446" s="302">
        <f>G1446/D1446*100</f>
        <v>100</v>
      </c>
      <c r="I1446" s="195">
        <f>SUM(I1444:I1445)</f>
        <v>10000000</v>
      </c>
      <c r="J1446" s="323">
        <f>I1446/D1446*100</f>
        <v>100</v>
      </c>
      <c r="K1446" s="356">
        <f>K1445</f>
        <v>0.91666666666666663</v>
      </c>
      <c r="L1446" s="302">
        <f>J1446</f>
        <v>100</v>
      </c>
      <c r="M1446" s="66"/>
    </row>
    <row r="1447" spans="1:13">
      <c r="A1447" s="44">
        <v>30</v>
      </c>
      <c r="B1447" s="77" t="s">
        <v>64</v>
      </c>
      <c r="C1447" s="78"/>
      <c r="D1447" s="57"/>
      <c r="E1447" s="119"/>
      <c r="F1447" s="209"/>
      <c r="G1447" s="119"/>
      <c r="H1447" s="152"/>
      <c r="I1447" s="119"/>
      <c r="J1447" s="152"/>
      <c r="K1447" s="152"/>
      <c r="L1447" s="311"/>
      <c r="M1447" s="131"/>
    </row>
    <row r="1448" spans="1:13">
      <c r="A1448" s="44"/>
      <c r="B1448" s="45">
        <v>2</v>
      </c>
      <c r="C1448" s="79" t="s">
        <v>102</v>
      </c>
      <c r="D1448" s="80">
        <v>199258000</v>
      </c>
      <c r="E1448" s="124">
        <v>0</v>
      </c>
      <c r="F1448" s="209">
        <v>0</v>
      </c>
      <c r="G1448" s="124">
        <v>199258000</v>
      </c>
      <c r="H1448" s="312">
        <f t="shared" ref="H1448" si="565">G1448/D1448*100</f>
        <v>100</v>
      </c>
      <c r="I1448" s="120">
        <f>G1448</f>
        <v>199258000</v>
      </c>
      <c r="J1448" s="314">
        <f>I1448/D1448*100</f>
        <v>100</v>
      </c>
      <c r="K1448" s="331">
        <f>11/12</f>
        <v>0.91666666666666663</v>
      </c>
      <c r="L1448" s="311">
        <f>J1448</f>
        <v>100</v>
      </c>
      <c r="M1448" s="131"/>
    </row>
    <row r="1449" spans="1:13">
      <c r="A1449" s="63"/>
      <c r="B1449" s="64"/>
      <c r="C1449" s="65" t="s">
        <v>45</v>
      </c>
      <c r="D1449" s="66">
        <f>SUM(D1447:D1448)</f>
        <v>199258000</v>
      </c>
      <c r="E1449" s="66">
        <f>SUM(E1447:E1448)</f>
        <v>0</v>
      </c>
      <c r="F1449" s="202">
        <f>SUM(F1447:F1448)</f>
        <v>0</v>
      </c>
      <c r="G1449" s="122">
        <f>SUM(G1448)</f>
        <v>199258000</v>
      </c>
      <c r="H1449" s="323">
        <f>G1449/D1449*100</f>
        <v>100</v>
      </c>
      <c r="I1449" s="122">
        <f>SUM(I1448)</f>
        <v>199258000</v>
      </c>
      <c r="J1449" s="323">
        <f>I1449/D1449*100</f>
        <v>100</v>
      </c>
      <c r="K1449" s="356">
        <f>K1448</f>
        <v>0.91666666666666663</v>
      </c>
      <c r="L1449" s="302">
        <f>J1449</f>
        <v>100</v>
      </c>
      <c r="M1449" s="66"/>
    </row>
    <row r="1450" spans="1:13">
      <c r="A1450" s="44">
        <v>21</v>
      </c>
      <c r="B1450" s="81" t="s">
        <v>65</v>
      </c>
      <c r="C1450" s="82"/>
      <c r="D1450" s="57"/>
      <c r="E1450" s="119"/>
      <c r="F1450" s="209"/>
      <c r="G1450" s="119"/>
      <c r="H1450" s="152"/>
      <c r="I1450" s="119"/>
      <c r="J1450" s="152"/>
      <c r="K1450" s="152"/>
      <c r="L1450" s="311"/>
      <c r="M1450" s="131"/>
    </row>
    <row r="1451" spans="1:13">
      <c r="A1451" s="44"/>
      <c r="B1451" s="47" t="s">
        <v>46</v>
      </c>
      <c r="C1451" s="48" t="s">
        <v>66</v>
      </c>
      <c r="D1451" s="60">
        <v>20000000</v>
      </c>
      <c r="E1451" s="125">
        <v>0</v>
      </c>
      <c r="F1451" s="211">
        <v>0</v>
      </c>
      <c r="G1451" s="199">
        <v>20000000</v>
      </c>
      <c r="H1451" s="312">
        <f>G1451/D1451*100</f>
        <v>100</v>
      </c>
      <c r="I1451" s="197">
        <f>G1451</f>
        <v>20000000</v>
      </c>
      <c r="J1451" s="301">
        <f>H1451</f>
        <v>100</v>
      </c>
      <c r="K1451" s="331">
        <f>11/12</f>
        <v>0.91666666666666663</v>
      </c>
      <c r="L1451" s="301">
        <f>J1451</f>
        <v>100</v>
      </c>
      <c r="M1451" s="132"/>
    </row>
    <row r="1452" spans="1:13">
      <c r="A1452" s="63"/>
      <c r="B1452" s="83"/>
      <c r="C1452" s="65" t="s">
        <v>45</v>
      </c>
      <c r="D1452" s="66">
        <f>SUM(D1451:D1451)</f>
        <v>20000000</v>
      </c>
      <c r="E1452" s="66">
        <f t="shared" ref="E1452:F1452" si="566">SUM(E1449:E1451)</f>
        <v>0</v>
      </c>
      <c r="F1452" s="202">
        <f t="shared" si="566"/>
        <v>0</v>
      </c>
      <c r="G1452" s="122">
        <f>SUM(G1451)</f>
        <v>20000000</v>
      </c>
      <c r="H1452" s="323">
        <f>G1452/D1452*100</f>
        <v>100</v>
      </c>
      <c r="I1452" s="122">
        <f>SUM(I1451)</f>
        <v>20000000</v>
      </c>
      <c r="J1452" s="302">
        <f>H1452</f>
        <v>100</v>
      </c>
      <c r="K1452" s="356">
        <f>K1451</f>
        <v>0.91666666666666663</v>
      </c>
      <c r="L1452" s="302">
        <f>SUM(L1451)</f>
        <v>100</v>
      </c>
      <c r="M1452" s="66"/>
    </row>
    <row r="1453" spans="1:13">
      <c r="A1453" s="84">
        <v>18</v>
      </c>
      <c r="B1453" s="826" t="s">
        <v>96</v>
      </c>
      <c r="C1453" s="827"/>
      <c r="D1453" s="57"/>
      <c r="E1453" s="119"/>
      <c r="F1453" s="209"/>
      <c r="G1453" s="119"/>
      <c r="H1453" s="152"/>
      <c r="I1453" s="119"/>
      <c r="J1453" s="152"/>
      <c r="K1453" s="152"/>
      <c r="L1453" s="152"/>
      <c r="M1453" s="131"/>
    </row>
    <row r="1454" spans="1:13">
      <c r="A1454" s="84"/>
      <c r="B1454" s="830" t="s">
        <v>95</v>
      </c>
      <c r="C1454" s="831"/>
      <c r="D1454" s="57"/>
      <c r="E1454" s="124"/>
      <c r="F1454" s="209"/>
      <c r="G1454" s="119"/>
      <c r="H1454" s="152"/>
      <c r="I1454" s="119"/>
      <c r="J1454" s="152"/>
      <c r="K1454" s="152"/>
      <c r="L1454" s="152"/>
      <c r="M1454" s="131"/>
    </row>
    <row r="1455" spans="1:13">
      <c r="A1455" s="44"/>
      <c r="B1455" s="47" t="s">
        <v>26</v>
      </c>
      <c r="C1455" s="48" t="s">
        <v>67</v>
      </c>
      <c r="D1455" s="60">
        <v>25000000</v>
      </c>
      <c r="E1455" s="125">
        <v>0</v>
      </c>
      <c r="F1455" s="211">
        <v>0</v>
      </c>
      <c r="G1455" s="199">
        <v>20000000</v>
      </c>
      <c r="H1455" s="299">
        <f>G1455/D1455*100</f>
        <v>80</v>
      </c>
      <c r="I1455" s="119">
        <f t="shared" ref="I1455" si="567">G1455</f>
        <v>20000000</v>
      </c>
      <c r="J1455" s="301">
        <f>H1455</f>
        <v>80</v>
      </c>
      <c r="K1455" s="331">
        <f>11/12</f>
        <v>0.91666666666666663</v>
      </c>
      <c r="L1455" s="301">
        <f>J1455</f>
        <v>80</v>
      </c>
      <c r="M1455" s="132"/>
    </row>
    <row r="1456" spans="1:13">
      <c r="A1456" s="44"/>
      <c r="B1456" s="47" t="s">
        <v>29</v>
      </c>
      <c r="C1456" s="204" t="s">
        <v>220</v>
      </c>
      <c r="D1456" s="179">
        <v>0</v>
      </c>
      <c r="E1456" s="180">
        <v>0</v>
      </c>
      <c r="F1456" s="181">
        <v>0</v>
      </c>
      <c r="G1456" s="207">
        <v>0</v>
      </c>
      <c r="H1456" s="148" t="s">
        <v>132</v>
      </c>
      <c r="I1456" s="119">
        <v>0</v>
      </c>
      <c r="J1456" s="148" t="s">
        <v>132</v>
      </c>
      <c r="K1456" s="59">
        <v>0</v>
      </c>
      <c r="L1456" s="741">
        <v>0</v>
      </c>
      <c r="M1456" s="165"/>
    </row>
    <row r="1457" spans="1:13">
      <c r="A1457" s="44"/>
      <c r="B1457" s="47"/>
      <c r="C1457" s="48" t="s">
        <v>117</v>
      </c>
      <c r="D1457" s="60"/>
      <c r="E1457" s="125"/>
      <c r="F1457" s="135"/>
      <c r="G1457" s="199"/>
      <c r="H1457" s="157"/>
      <c r="I1457" s="197"/>
      <c r="J1457" s="59"/>
      <c r="K1457" s="153"/>
      <c r="L1457" s="301"/>
      <c r="M1457" s="132"/>
    </row>
    <row r="1458" spans="1:13">
      <c r="A1458" s="63"/>
      <c r="B1458" s="71"/>
      <c r="C1458" s="65" t="s">
        <v>45</v>
      </c>
      <c r="D1458" s="66">
        <f>SUM(D1455:D1457)</f>
        <v>25000000</v>
      </c>
      <c r="E1458" s="66">
        <f t="shared" ref="E1458" si="568">SUM(E1455:E1455)</f>
        <v>0</v>
      </c>
      <c r="F1458" s="66">
        <f>SUM(F1455:F1455)</f>
        <v>0</v>
      </c>
      <c r="G1458" s="122">
        <f>SUM(G1455:G1457)</f>
        <v>20000000</v>
      </c>
      <c r="H1458" s="323">
        <f>G1458/D1458*100</f>
        <v>80</v>
      </c>
      <c r="I1458" s="122">
        <f>SUM(I1455:I1457)</f>
        <v>20000000</v>
      </c>
      <c r="J1458" s="302">
        <f>H1458</f>
        <v>80</v>
      </c>
      <c r="K1458" s="350">
        <f>11/12</f>
        <v>0.91666666666666663</v>
      </c>
      <c r="L1458" s="302">
        <f t="shared" ref="L1458" si="569">SUM(L1455:L1455)</f>
        <v>80</v>
      </c>
      <c r="M1458" s="748"/>
    </row>
    <row r="1459" spans="1:13">
      <c r="A1459" s="84">
        <v>17</v>
      </c>
      <c r="B1459" s="826" t="s">
        <v>130</v>
      </c>
      <c r="C1459" s="827"/>
      <c r="D1459" s="57"/>
      <c r="E1459" s="119"/>
      <c r="F1459" s="131"/>
      <c r="G1459" s="119"/>
      <c r="H1459" s="152"/>
      <c r="I1459" s="119"/>
      <c r="J1459" s="152"/>
      <c r="K1459" s="152"/>
      <c r="L1459" s="152"/>
      <c r="M1459" s="131"/>
    </row>
    <row r="1460" spans="1:13">
      <c r="A1460" s="44"/>
      <c r="B1460" s="47" t="s">
        <v>53</v>
      </c>
      <c r="C1460" s="48" t="s">
        <v>131</v>
      </c>
      <c r="D1460" s="60">
        <v>19000000</v>
      </c>
      <c r="E1460" s="125">
        <v>0</v>
      </c>
      <c r="F1460" s="135">
        <v>0</v>
      </c>
      <c r="G1460" s="197">
        <v>19000000</v>
      </c>
      <c r="H1460" s="312">
        <f>G1460/D1460*100</f>
        <v>100</v>
      </c>
      <c r="I1460" s="197">
        <f>G1460</f>
        <v>19000000</v>
      </c>
      <c r="J1460" s="301">
        <f>H1460</f>
        <v>100</v>
      </c>
      <c r="K1460" s="331">
        <f>11/12</f>
        <v>0.91666666666666663</v>
      </c>
      <c r="L1460" s="301">
        <f>J1460</f>
        <v>100</v>
      </c>
      <c r="M1460" s="132"/>
    </row>
    <row r="1461" spans="1:13">
      <c r="A1461" s="63"/>
      <c r="B1461" s="64"/>
      <c r="C1461" s="65" t="s">
        <v>45</v>
      </c>
      <c r="D1461" s="66">
        <f>SUM(D1460:D1460)</f>
        <v>19000000</v>
      </c>
      <c r="E1461" s="66">
        <f t="shared" ref="E1461:F1461" si="570">SUM(E1459:E1460)</f>
        <v>0</v>
      </c>
      <c r="F1461" s="66">
        <f t="shared" si="570"/>
        <v>0</v>
      </c>
      <c r="G1461" s="122">
        <f>SUM(G1460)</f>
        <v>19000000</v>
      </c>
      <c r="H1461" s="323">
        <f>G1461/D1461*100</f>
        <v>100</v>
      </c>
      <c r="I1461" s="122">
        <f>SUM(I1460)</f>
        <v>19000000</v>
      </c>
      <c r="J1461" s="302">
        <f>H1461</f>
        <v>100</v>
      </c>
      <c r="K1461" s="356">
        <f>K1460</f>
        <v>0.91666666666666663</v>
      </c>
      <c r="L1461" s="302">
        <f t="shared" ref="L1461" si="571">SUM(L1459:L1460)</f>
        <v>100</v>
      </c>
      <c r="M1461" s="66"/>
    </row>
    <row r="1462" spans="1:13">
      <c r="A1462" s="44">
        <v>15</v>
      </c>
      <c r="B1462" s="781" t="s">
        <v>68</v>
      </c>
      <c r="C1462" s="86"/>
      <c r="D1462" s="57"/>
      <c r="E1462" s="119"/>
      <c r="F1462" s="131"/>
      <c r="G1462" s="119"/>
      <c r="H1462" s="152"/>
      <c r="I1462" s="119"/>
      <c r="J1462" s="152"/>
      <c r="K1462" s="152"/>
      <c r="L1462" s="152"/>
      <c r="M1462" s="131"/>
    </row>
    <row r="1463" spans="1:13" ht="26.25">
      <c r="A1463" s="44"/>
      <c r="B1463" s="49" t="s">
        <v>80</v>
      </c>
      <c r="C1463" s="50" t="s">
        <v>118</v>
      </c>
      <c r="D1463" s="62">
        <v>7500000</v>
      </c>
      <c r="E1463" s="125">
        <v>0</v>
      </c>
      <c r="F1463" s="135">
        <v>0</v>
      </c>
      <c r="G1463" s="119">
        <v>7500000</v>
      </c>
      <c r="H1463" s="299">
        <f>G1463/D1463*100</f>
        <v>100</v>
      </c>
      <c r="I1463" s="119">
        <f>G1463</f>
        <v>7500000</v>
      </c>
      <c r="J1463" s="301">
        <f>H1463</f>
        <v>100</v>
      </c>
      <c r="K1463" s="339"/>
      <c r="L1463" s="59">
        <v>0</v>
      </c>
      <c r="M1463" s="132"/>
    </row>
    <row r="1464" spans="1:13">
      <c r="A1464" s="44"/>
      <c r="B1464" s="49" t="s">
        <v>69</v>
      </c>
      <c r="C1464" s="50" t="s">
        <v>70</v>
      </c>
      <c r="D1464" s="62">
        <v>60000000</v>
      </c>
      <c r="E1464" s="125">
        <v>0</v>
      </c>
      <c r="F1464" s="135">
        <v>0</v>
      </c>
      <c r="G1464" s="197">
        <v>60000000</v>
      </c>
      <c r="H1464" s="316">
        <f>G1464/D1464*100</f>
        <v>100</v>
      </c>
      <c r="I1464" s="197">
        <f>G1464</f>
        <v>60000000</v>
      </c>
      <c r="J1464" s="301">
        <f>H1464</f>
        <v>100</v>
      </c>
      <c r="K1464" s="331">
        <f>11/12</f>
        <v>0.91666666666666663</v>
      </c>
      <c r="L1464" s="301">
        <f>J1464</f>
        <v>100</v>
      </c>
      <c r="M1464" s="132"/>
    </row>
    <row r="1465" spans="1:13">
      <c r="A1465" s="63"/>
      <c r="B1465" s="64"/>
      <c r="C1465" s="65" t="s">
        <v>45</v>
      </c>
      <c r="D1465" s="66">
        <f>SUM(D1463:D1464)</f>
        <v>67500000</v>
      </c>
      <c r="E1465" s="66">
        <f>SUM(E1461:E1464)</f>
        <v>0</v>
      </c>
      <c r="F1465" s="66">
        <f>SUM(F1461:F1464)</f>
        <v>0</v>
      </c>
      <c r="G1465" s="122">
        <f>SUM(G1463:G1464)</f>
        <v>67500000</v>
      </c>
      <c r="H1465" s="323">
        <f>G1465/D1465*100</f>
        <v>100</v>
      </c>
      <c r="I1465" s="122">
        <f>SUM(I1463:I1464)</f>
        <v>67500000</v>
      </c>
      <c r="J1465" s="302">
        <f>H1465</f>
        <v>100</v>
      </c>
      <c r="K1465" s="356">
        <f>K1464</f>
        <v>0.91666666666666663</v>
      </c>
      <c r="L1465" s="302">
        <f>SUM(L1461:L1464)</f>
        <v>200</v>
      </c>
      <c r="M1465" s="748"/>
    </row>
    <row r="1466" spans="1:13">
      <c r="A1466" s="44">
        <v>16</v>
      </c>
      <c r="B1466" s="81" t="s">
        <v>71</v>
      </c>
      <c r="C1466" s="82"/>
      <c r="D1466" s="57"/>
      <c r="E1466" s="119"/>
      <c r="F1466" s="131"/>
      <c r="G1466" s="119"/>
      <c r="H1466" s="152"/>
      <c r="I1466" s="119"/>
      <c r="J1466" s="152"/>
      <c r="K1466" s="152"/>
      <c r="L1466" s="152"/>
      <c r="M1466" s="131"/>
    </row>
    <row r="1467" spans="1:13">
      <c r="A1467" s="44"/>
      <c r="B1467" s="47" t="s">
        <v>72</v>
      </c>
      <c r="C1467" s="48" t="s">
        <v>73</v>
      </c>
      <c r="D1467" s="60">
        <v>5000000</v>
      </c>
      <c r="E1467" s="120">
        <v>0</v>
      </c>
      <c r="F1467" s="132">
        <v>0</v>
      </c>
      <c r="G1467" s="120">
        <v>5000000</v>
      </c>
      <c r="H1467" s="312">
        <f>G1467/D1467*100</f>
        <v>100</v>
      </c>
      <c r="I1467" s="313">
        <f t="shared" ref="I1467:I1468" si="572">G1467</f>
        <v>5000000</v>
      </c>
      <c r="J1467" s="314">
        <f t="shared" ref="J1467:J1468" si="573">I1467/D1467*100</f>
        <v>100</v>
      </c>
      <c r="K1467" s="331">
        <f>11/12</f>
        <v>0.91666666666666663</v>
      </c>
      <c r="L1467" s="311">
        <f>J1467</f>
        <v>100</v>
      </c>
      <c r="M1467" s="132"/>
    </row>
    <row r="1468" spans="1:13">
      <c r="A1468" s="63"/>
      <c r="B1468" s="83"/>
      <c r="C1468" s="65" t="s">
        <v>45</v>
      </c>
      <c r="D1468" s="66">
        <f>SUM(D1467:D1467)</f>
        <v>5000000</v>
      </c>
      <c r="E1468" s="122">
        <f>SUM(E1467:E1467)</f>
        <v>0</v>
      </c>
      <c r="F1468" s="66">
        <f>SUM(F1467:F1467)</f>
        <v>0</v>
      </c>
      <c r="G1468" s="195">
        <f>G1467</f>
        <v>5000000</v>
      </c>
      <c r="H1468" s="534">
        <f>G1468/D1468*100</f>
        <v>100</v>
      </c>
      <c r="I1468" s="530">
        <f t="shared" si="572"/>
        <v>5000000</v>
      </c>
      <c r="J1468" s="531">
        <f t="shared" si="573"/>
        <v>100</v>
      </c>
      <c r="K1468" s="333">
        <f>SUM(K1467)</f>
        <v>0.91666666666666663</v>
      </c>
      <c r="L1468" s="302">
        <f>SUM(L1467)</f>
        <v>100</v>
      </c>
      <c r="M1468" s="66"/>
    </row>
    <row r="1469" spans="1:13">
      <c r="A1469" s="87" t="s">
        <v>69</v>
      </c>
      <c r="B1469" s="826" t="s">
        <v>89</v>
      </c>
      <c r="C1469" s="827"/>
      <c r="D1469" s="70"/>
      <c r="E1469" s="123"/>
      <c r="F1469" s="134"/>
      <c r="G1469" s="123"/>
      <c r="H1469" s="156"/>
      <c r="I1469" s="123"/>
      <c r="J1469" s="156"/>
      <c r="K1469" s="156"/>
      <c r="L1469" s="156"/>
      <c r="M1469" s="134"/>
    </row>
    <row r="1470" spans="1:13">
      <c r="A1470" s="88"/>
      <c r="B1470" s="830" t="s">
        <v>88</v>
      </c>
      <c r="C1470" s="831"/>
      <c r="D1470" s="57"/>
      <c r="E1470" s="119"/>
      <c r="F1470" s="131"/>
      <c r="G1470" s="119"/>
      <c r="H1470" s="152"/>
      <c r="I1470" s="119"/>
      <c r="J1470" s="152"/>
      <c r="K1470" s="152"/>
      <c r="L1470" s="152"/>
      <c r="M1470" s="131"/>
    </row>
    <row r="1471" spans="1:13">
      <c r="A1471" s="89"/>
      <c r="B1471" s="61" t="s">
        <v>26</v>
      </c>
      <c r="C1471" s="90" t="s">
        <v>74</v>
      </c>
      <c r="D1471" s="91">
        <v>15000000</v>
      </c>
      <c r="E1471" s="126">
        <v>0</v>
      </c>
      <c r="F1471" s="136">
        <v>0</v>
      </c>
      <c r="G1471" s="126">
        <v>15000000</v>
      </c>
      <c r="H1471" s="312">
        <f>G1471/D1471*100</f>
        <v>100</v>
      </c>
      <c r="I1471" s="313">
        <f>G1471</f>
        <v>15000000</v>
      </c>
      <c r="J1471" s="314">
        <f t="shared" ref="J1471:J1472" si="574">I1471/D1471*100</f>
        <v>100</v>
      </c>
      <c r="K1471" s="331">
        <f>11/12</f>
        <v>0.91666666666666663</v>
      </c>
      <c r="L1471" s="311">
        <f>J1471</f>
        <v>100</v>
      </c>
      <c r="M1471" s="136"/>
    </row>
    <row r="1472" spans="1:13">
      <c r="A1472" s="63"/>
      <c r="B1472" s="83"/>
      <c r="C1472" s="65" t="s">
        <v>45</v>
      </c>
      <c r="D1472" s="66">
        <f>SUM(D1471:D1471)</f>
        <v>15000000</v>
      </c>
      <c r="E1472" s="122">
        <f>SUM(E1471:E1471)</f>
        <v>0</v>
      </c>
      <c r="F1472" s="66">
        <f>SUM(F1471:F1471)</f>
        <v>0</v>
      </c>
      <c r="G1472" s="532">
        <f>SUM(G1471)</f>
        <v>15000000</v>
      </c>
      <c r="H1472" s="323">
        <f>G1472/D1472*100</f>
        <v>100</v>
      </c>
      <c r="I1472" s="533">
        <f t="shared" ref="I1472" si="575">G1472</f>
        <v>15000000</v>
      </c>
      <c r="J1472" s="340">
        <f t="shared" si="574"/>
        <v>100</v>
      </c>
      <c r="K1472" s="333">
        <f>SUM(K1471)</f>
        <v>0.91666666666666663</v>
      </c>
      <c r="L1472" s="302">
        <f>SUM(L1471)</f>
        <v>100</v>
      </c>
      <c r="M1472" s="66"/>
    </row>
    <row r="1473" spans="1:13">
      <c r="A1473" s="88"/>
      <c r="B1473" s="826" t="s">
        <v>94</v>
      </c>
      <c r="C1473" s="827"/>
      <c r="D1473" s="57"/>
      <c r="E1473" s="119"/>
      <c r="F1473" s="131"/>
      <c r="G1473" s="119"/>
      <c r="H1473" s="152"/>
      <c r="I1473" s="119"/>
      <c r="J1473" s="152"/>
      <c r="K1473" s="152"/>
      <c r="L1473" s="152"/>
      <c r="M1473" s="131"/>
    </row>
    <row r="1474" spans="1:13">
      <c r="A1474" s="84"/>
      <c r="B1474" s="92" t="s">
        <v>26</v>
      </c>
      <c r="C1474" s="48" t="s">
        <v>134</v>
      </c>
      <c r="D1474" s="60">
        <v>4000000</v>
      </c>
      <c r="E1474" s="125">
        <v>0</v>
      </c>
      <c r="F1474" s="135">
        <v>0</v>
      </c>
      <c r="G1474" s="197">
        <v>4000000</v>
      </c>
      <c r="H1474" s="312">
        <f>G1474/D1474*100</f>
        <v>100</v>
      </c>
      <c r="I1474" s="197">
        <f>G1474</f>
        <v>4000000</v>
      </c>
      <c r="J1474" s="314">
        <f t="shared" ref="J1474:J1475" si="576">I1474/D1474*100</f>
        <v>100</v>
      </c>
      <c r="K1474" s="331">
        <f>11/12</f>
        <v>0.91666666666666663</v>
      </c>
      <c r="L1474" s="301">
        <f>J1474</f>
        <v>100</v>
      </c>
      <c r="M1474" s="132"/>
    </row>
    <row r="1475" spans="1:13">
      <c r="A1475" s="93"/>
      <c r="B1475" s="64"/>
      <c r="C1475" s="65" t="s">
        <v>45</v>
      </c>
      <c r="D1475" s="66">
        <f>SUM(D1474:D1474)</f>
        <v>4000000</v>
      </c>
      <c r="E1475" s="66">
        <f t="shared" ref="E1475:F1475" si="577">SUM(E1469:E1474)</f>
        <v>0</v>
      </c>
      <c r="F1475" s="66">
        <f t="shared" si="577"/>
        <v>0</v>
      </c>
      <c r="G1475" s="122">
        <f>SUM(G1474)</f>
        <v>4000000</v>
      </c>
      <c r="H1475" s="323">
        <f>G1475/D1475*100</f>
        <v>100</v>
      </c>
      <c r="I1475" s="533">
        <f t="shared" ref="I1475" si="578">G1475</f>
        <v>4000000</v>
      </c>
      <c r="J1475" s="340">
        <f t="shared" si="576"/>
        <v>100</v>
      </c>
      <c r="K1475" s="356">
        <f>K1474</f>
        <v>0.91666666666666663</v>
      </c>
      <c r="L1475" s="302">
        <f>J1475</f>
        <v>100</v>
      </c>
      <c r="M1475" s="66"/>
    </row>
    <row r="1476" spans="1:13">
      <c r="A1476" s="84">
        <v>16</v>
      </c>
      <c r="B1476" s="826" t="s">
        <v>75</v>
      </c>
      <c r="C1476" s="827"/>
      <c r="D1476" s="57"/>
      <c r="E1476" s="119"/>
      <c r="F1476" s="131"/>
      <c r="G1476" s="119"/>
      <c r="H1476" s="156"/>
      <c r="I1476" s="123"/>
      <c r="J1476" s="152"/>
      <c r="K1476" s="152"/>
      <c r="L1476" s="152"/>
      <c r="M1476" s="131"/>
    </row>
    <row r="1477" spans="1:13">
      <c r="A1477" s="84"/>
      <c r="B1477" s="94" t="s">
        <v>72</v>
      </c>
      <c r="C1477" s="95" t="s">
        <v>103</v>
      </c>
      <c r="D1477" s="80">
        <v>10000000</v>
      </c>
      <c r="E1477" s="124"/>
      <c r="F1477" s="131"/>
      <c r="G1477" s="218">
        <v>9000000</v>
      </c>
      <c r="H1477" s="312">
        <f>G1477/D1477*100</f>
        <v>90</v>
      </c>
      <c r="I1477" s="313">
        <f t="shared" ref="I1477" si="579">G1477</f>
        <v>9000000</v>
      </c>
      <c r="J1477" s="314">
        <f t="shared" ref="J1477" si="580">I1477/D1477*100</f>
        <v>90</v>
      </c>
      <c r="K1477" s="331">
        <f>10/12</f>
        <v>0.83333333333333337</v>
      </c>
      <c r="L1477" s="311">
        <f>J1477</f>
        <v>90</v>
      </c>
      <c r="M1477" s="131"/>
    </row>
    <row r="1478" spans="1:13">
      <c r="A1478" s="93"/>
      <c r="B1478" s="83"/>
      <c r="C1478" s="65" t="s">
        <v>45</v>
      </c>
      <c r="D1478" s="66">
        <f>SUM(D1477)</f>
        <v>10000000</v>
      </c>
      <c r="E1478" s="66">
        <f t="shared" ref="E1478:F1478" si="581">SUM(E1476:E1477)</f>
        <v>0</v>
      </c>
      <c r="F1478" s="66">
        <f t="shared" si="581"/>
        <v>0</v>
      </c>
      <c r="G1478" s="122">
        <f>SUM(G1477)</f>
        <v>9000000</v>
      </c>
      <c r="H1478" s="302">
        <f t="shared" ref="H1478:J1478" si="582">SUM(H1477)</f>
        <v>90</v>
      </c>
      <c r="I1478" s="122">
        <f t="shared" si="582"/>
        <v>9000000</v>
      </c>
      <c r="J1478" s="302">
        <f t="shared" si="582"/>
        <v>90</v>
      </c>
      <c r="K1478" s="333">
        <f>SUM(K1477)</f>
        <v>0.83333333333333337</v>
      </c>
      <c r="L1478" s="302">
        <f t="shared" ref="L1478" si="583">SUM(L1477)</f>
        <v>90</v>
      </c>
      <c r="M1478" s="748"/>
    </row>
    <row r="1479" spans="1:13">
      <c r="A1479" s="84">
        <v>22</v>
      </c>
      <c r="B1479" s="826" t="s">
        <v>87</v>
      </c>
      <c r="C1479" s="827"/>
      <c r="D1479" s="57"/>
      <c r="E1479" s="119"/>
      <c r="F1479" s="131"/>
      <c r="G1479" s="119"/>
      <c r="H1479" s="152"/>
      <c r="I1479" s="119"/>
      <c r="J1479" s="152"/>
      <c r="K1479" s="152"/>
      <c r="L1479" s="152"/>
      <c r="M1479" s="131"/>
    </row>
    <row r="1480" spans="1:13" ht="25.5">
      <c r="A1480" s="84"/>
      <c r="B1480" s="47" t="s">
        <v>26</v>
      </c>
      <c r="C1480" s="95" t="s">
        <v>76</v>
      </c>
      <c r="D1480" s="60">
        <v>3500000</v>
      </c>
      <c r="E1480" s="125">
        <v>0</v>
      </c>
      <c r="F1480" s="135">
        <v>0</v>
      </c>
      <c r="G1480" s="197">
        <f>875000+875000+875000</f>
        <v>2625000</v>
      </c>
      <c r="H1480" s="312">
        <f>G1480/D1480*100</f>
        <v>75</v>
      </c>
      <c r="I1480" s="197">
        <f>G1480</f>
        <v>2625000</v>
      </c>
      <c r="J1480" s="314">
        <f t="shared" ref="J1480:J1481" si="584">I1480/D1480*100</f>
        <v>75</v>
      </c>
      <c r="K1480" s="331">
        <f>11/12</f>
        <v>0.91666666666666663</v>
      </c>
      <c r="L1480" s="311">
        <f>J1480</f>
        <v>75</v>
      </c>
      <c r="M1480" s="132"/>
    </row>
    <row r="1481" spans="1:13">
      <c r="A1481" s="63"/>
      <c r="B1481" s="83"/>
      <c r="C1481" s="65" t="s">
        <v>45</v>
      </c>
      <c r="D1481" s="66">
        <f>SUM(D1480:D1480)</f>
        <v>3500000</v>
      </c>
      <c r="E1481" s="66">
        <f t="shared" ref="E1481:F1481" si="585">SUM(E1478:E1480)</f>
        <v>0</v>
      </c>
      <c r="F1481" s="66">
        <f t="shared" si="585"/>
        <v>0</v>
      </c>
      <c r="G1481" s="122">
        <f>SUM(G1480)</f>
        <v>2625000</v>
      </c>
      <c r="H1481" s="535">
        <f>G1481/D1481*100</f>
        <v>75</v>
      </c>
      <c r="I1481" s="122">
        <f>SUM(I1480)</f>
        <v>2625000</v>
      </c>
      <c r="J1481" s="536">
        <f t="shared" si="584"/>
        <v>75</v>
      </c>
      <c r="K1481" s="333">
        <f>SUM(K1480)</f>
        <v>0.91666666666666663</v>
      </c>
      <c r="L1481" s="302">
        <f>SUM(L1480)</f>
        <v>75</v>
      </c>
      <c r="M1481" s="748"/>
    </row>
    <row r="1482" spans="1:13">
      <c r="A1482" s="44">
        <v>17</v>
      </c>
      <c r="B1482" s="822" t="s">
        <v>56</v>
      </c>
      <c r="C1482" s="823"/>
      <c r="D1482" s="57"/>
      <c r="E1482" s="119"/>
      <c r="F1482" s="131"/>
      <c r="G1482" s="119"/>
      <c r="H1482" s="152"/>
      <c r="I1482" s="119"/>
      <c r="J1482" s="152"/>
      <c r="K1482" s="152"/>
      <c r="L1482" s="152"/>
      <c r="M1482" s="131"/>
    </row>
    <row r="1483" spans="1:13">
      <c r="A1483" s="44"/>
      <c r="B1483" s="47">
        <v>19</v>
      </c>
      <c r="C1483" s="824" t="s">
        <v>91</v>
      </c>
      <c r="E1483" s="120"/>
      <c r="F1483" s="132"/>
      <c r="G1483" s="119"/>
      <c r="H1483" s="59"/>
      <c r="I1483" s="119"/>
      <c r="J1483" s="59"/>
      <c r="K1483" s="59"/>
      <c r="L1483" s="59"/>
      <c r="M1483" s="132"/>
    </row>
    <row r="1484" spans="1:13">
      <c r="A1484" s="44"/>
      <c r="B1484" s="163"/>
      <c r="C1484" s="825"/>
      <c r="D1484" s="60">
        <v>25000000</v>
      </c>
      <c r="E1484" s="164">
        <v>0</v>
      </c>
      <c r="F1484" s="165">
        <v>0</v>
      </c>
      <c r="G1484" s="330">
        <v>25000000</v>
      </c>
      <c r="H1484" s="312">
        <f>G1484/D1484*100</f>
        <v>100</v>
      </c>
      <c r="I1484" s="197">
        <f>G1484</f>
        <v>25000000</v>
      </c>
      <c r="J1484" s="314">
        <f t="shared" ref="J1484" si="586">I1484/D1484*100</f>
        <v>100</v>
      </c>
      <c r="K1484" s="331">
        <f>11/12</f>
        <v>0.91666666666666663</v>
      </c>
      <c r="L1484" s="314">
        <f>J1484</f>
        <v>100</v>
      </c>
      <c r="M1484" s="165"/>
    </row>
    <row r="1485" spans="1:13">
      <c r="A1485" s="63"/>
      <c r="B1485" s="96"/>
      <c r="C1485" s="65" t="s">
        <v>45</v>
      </c>
      <c r="D1485" s="66">
        <f>SUM(D1484:D1484)</f>
        <v>25000000</v>
      </c>
      <c r="E1485" s="122">
        <f>SUM(E1483:E1483)</f>
        <v>0</v>
      </c>
      <c r="F1485" s="137">
        <f>SUM(F1483:F1483)</f>
        <v>0</v>
      </c>
      <c r="G1485" s="122">
        <f>SUM(G1484)</f>
        <v>25000000</v>
      </c>
      <c r="H1485" s="302">
        <f>SUM(H1484)</f>
        <v>100</v>
      </c>
      <c r="I1485" s="122">
        <f>SUM(I1484)</f>
        <v>25000000</v>
      </c>
      <c r="J1485" s="324">
        <f>SUM(J1484)</f>
        <v>100</v>
      </c>
      <c r="K1485" s="333">
        <f>SUM(K1484)</f>
        <v>0.91666666666666663</v>
      </c>
      <c r="L1485" s="340">
        <f>J1485</f>
        <v>100</v>
      </c>
      <c r="M1485" s="750"/>
    </row>
    <row r="1486" spans="1:13">
      <c r="A1486" s="44">
        <v>19</v>
      </c>
      <c r="B1486" s="826" t="s">
        <v>57</v>
      </c>
      <c r="C1486" s="827"/>
      <c r="D1486" s="57"/>
      <c r="E1486" s="119"/>
      <c r="F1486" s="131"/>
      <c r="G1486" s="119"/>
      <c r="H1486" s="152"/>
      <c r="I1486" s="119"/>
      <c r="J1486" s="152"/>
      <c r="K1486" s="152"/>
      <c r="L1486" s="152"/>
      <c r="M1486" s="131"/>
    </row>
    <row r="1487" spans="1:13">
      <c r="A1487" s="44"/>
      <c r="B1487" s="47" t="s">
        <v>26</v>
      </c>
      <c r="C1487" s="48" t="s">
        <v>58</v>
      </c>
      <c r="D1487" s="60">
        <v>15000000</v>
      </c>
      <c r="E1487" s="120">
        <v>0</v>
      </c>
      <c r="F1487" s="132">
        <v>0</v>
      </c>
      <c r="G1487" s="197">
        <v>15000000</v>
      </c>
      <c r="H1487" s="59">
        <f>G1487/D1487*100</f>
        <v>100</v>
      </c>
      <c r="I1487" s="197">
        <f>G1487</f>
        <v>15000000</v>
      </c>
      <c r="J1487" s="301">
        <f>I1487/D1487*100</f>
        <v>100</v>
      </c>
      <c r="K1487" s="331">
        <f>11/12</f>
        <v>0.91666666666666663</v>
      </c>
      <c r="L1487" s="311">
        <f>J1487</f>
        <v>100</v>
      </c>
      <c r="M1487" s="132"/>
    </row>
    <row r="1488" spans="1:13">
      <c r="A1488" s="183"/>
      <c r="B1488" s="64"/>
      <c r="C1488" s="65" t="s">
        <v>45</v>
      </c>
      <c r="D1488" s="66">
        <f>SUM(D1487)</f>
        <v>15000000</v>
      </c>
      <c r="E1488" s="122">
        <f>SUM(E1485:E1485)</f>
        <v>0</v>
      </c>
      <c r="F1488" s="66">
        <f>SUM(F1485:F1485)</f>
        <v>0</v>
      </c>
      <c r="G1488" s="122">
        <f>G1487</f>
        <v>15000000</v>
      </c>
      <c r="H1488" s="66">
        <f>G1488/D1488*100</f>
        <v>100</v>
      </c>
      <c r="I1488" s="122">
        <f>I1487</f>
        <v>15000000</v>
      </c>
      <c r="J1488" s="324">
        <f>I1488/D1488*100</f>
        <v>100</v>
      </c>
      <c r="K1488" s="333">
        <f>SUM(K1487)</f>
        <v>0.91666666666666663</v>
      </c>
      <c r="L1488" s="302">
        <f>SUM(L1487)</f>
        <v>100</v>
      </c>
      <c r="M1488" s="66"/>
    </row>
    <row r="1489" spans="1:13">
      <c r="A1489" s="44">
        <v>32</v>
      </c>
      <c r="B1489" s="97" t="s">
        <v>59</v>
      </c>
      <c r="C1489" s="98"/>
      <c r="D1489" s="57"/>
      <c r="E1489" s="119"/>
      <c r="F1489" s="131"/>
      <c r="G1489" s="119"/>
      <c r="H1489" s="152"/>
      <c r="I1489" s="119"/>
      <c r="J1489" s="152"/>
      <c r="K1489" s="152"/>
      <c r="L1489" s="152"/>
      <c r="M1489" s="131"/>
    </row>
    <row r="1490" spans="1:13">
      <c r="A1490" s="44"/>
      <c r="B1490" s="47" t="s">
        <v>26</v>
      </c>
      <c r="C1490" s="58" t="s">
        <v>60</v>
      </c>
      <c r="D1490" s="60">
        <v>15000000</v>
      </c>
      <c r="E1490" s="120">
        <v>0</v>
      </c>
      <c r="F1490" s="132">
        <v>0</v>
      </c>
      <c r="G1490" s="197">
        <f>750000+225000+ 1500000+750000+7500000+3525000</f>
        <v>14250000</v>
      </c>
      <c r="H1490" s="301">
        <f>G1490/D1490*100</f>
        <v>95</v>
      </c>
      <c r="I1490" s="192">
        <f>G1490</f>
        <v>14250000</v>
      </c>
      <c r="J1490" s="301">
        <f>I1490/D1490*100</f>
        <v>95</v>
      </c>
      <c r="K1490" s="331">
        <f>11/12</f>
        <v>0.91666666666666663</v>
      </c>
      <c r="L1490" s="311">
        <f>J1490</f>
        <v>95</v>
      </c>
      <c r="M1490" s="132"/>
    </row>
    <row r="1491" spans="1:13">
      <c r="A1491" s="63"/>
      <c r="B1491" s="64"/>
      <c r="C1491" s="65" t="s">
        <v>45</v>
      </c>
      <c r="D1491" s="66">
        <f>SUM(D1490)</f>
        <v>15000000</v>
      </c>
      <c r="E1491" s="122">
        <f>SUM(E1490:E1490)</f>
        <v>0</v>
      </c>
      <c r="F1491" s="66">
        <f>SUM(F1490:F1490)</f>
        <v>0</v>
      </c>
      <c r="G1491" s="122">
        <f>G1490</f>
        <v>14250000</v>
      </c>
      <c r="H1491" s="302">
        <f>G1491/D1491*100</f>
        <v>95</v>
      </c>
      <c r="I1491" s="122">
        <f>I1490</f>
        <v>14250000</v>
      </c>
      <c r="J1491" s="302">
        <f>I1491/D1491*100</f>
        <v>95</v>
      </c>
      <c r="K1491" s="333">
        <f>SUM(K1490:K1490)</f>
        <v>0.91666666666666663</v>
      </c>
      <c r="L1491" s="302">
        <f>SUM(L1490:L1490)</f>
        <v>95</v>
      </c>
      <c r="M1491" s="748"/>
    </row>
    <row r="1492" spans="1:13">
      <c r="A1492" s="99">
        <v>15</v>
      </c>
      <c r="B1492" s="100" t="s">
        <v>77</v>
      </c>
      <c r="C1492" s="779"/>
      <c r="D1492" s="70"/>
      <c r="E1492" s="123"/>
      <c r="F1492" s="134"/>
      <c r="G1492" s="123"/>
      <c r="H1492" s="156"/>
      <c r="I1492" s="123"/>
      <c r="J1492" s="144"/>
      <c r="K1492" s="156"/>
      <c r="L1492" s="156"/>
      <c r="M1492" s="134"/>
    </row>
    <row r="1493" spans="1:13">
      <c r="A1493" s="84"/>
      <c r="B1493" s="101" t="s">
        <v>78</v>
      </c>
      <c r="C1493" s="48"/>
      <c r="D1493" s="102"/>
      <c r="E1493" s="119"/>
      <c r="F1493" s="131"/>
      <c r="G1493" s="119"/>
      <c r="H1493" s="152"/>
      <c r="I1493" s="119"/>
      <c r="J1493" s="59"/>
      <c r="K1493" s="152"/>
      <c r="L1493" s="152"/>
      <c r="M1493" s="131"/>
    </row>
    <row r="1494" spans="1:13">
      <c r="A1494" s="44"/>
      <c r="B1494" s="47" t="s">
        <v>26</v>
      </c>
      <c r="C1494" s="48" t="s">
        <v>79</v>
      </c>
      <c r="D1494" s="60">
        <v>5000000</v>
      </c>
      <c r="E1494" s="120">
        <v>0</v>
      </c>
      <c r="F1494" s="132">
        <v>0</v>
      </c>
      <c r="G1494" s="199">
        <v>5000000</v>
      </c>
      <c r="H1494" s="59">
        <f>G1494/D1494*100</f>
        <v>100</v>
      </c>
      <c r="I1494" s="199">
        <f>G1494</f>
        <v>5000000</v>
      </c>
      <c r="J1494" s="301">
        <f>I1494/D1494*100</f>
        <v>100</v>
      </c>
      <c r="K1494" s="331">
        <f>11/12</f>
        <v>0.91666666666666663</v>
      </c>
      <c r="L1494" s="301">
        <f>J1494</f>
        <v>100</v>
      </c>
      <c r="M1494" s="132"/>
    </row>
    <row r="1495" spans="1:13">
      <c r="A1495" s="89"/>
      <c r="B1495" s="61" t="s">
        <v>80</v>
      </c>
      <c r="C1495" s="103" t="s">
        <v>104</v>
      </c>
      <c r="D1495" s="91">
        <v>15000000</v>
      </c>
      <c r="E1495" s="127">
        <v>0</v>
      </c>
      <c r="F1495" s="138">
        <v>0</v>
      </c>
      <c r="G1495" s="197">
        <v>15000000</v>
      </c>
      <c r="H1495" s="59">
        <f>G1495/D1495*100</f>
        <v>100</v>
      </c>
      <c r="I1495" s="197">
        <f>G1495</f>
        <v>15000000</v>
      </c>
      <c r="J1495" s="301">
        <f>I1495/D1495*100</f>
        <v>100</v>
      </c>
      <c r="K1495" s="331">
        <f>11/12</f>
        <v>0.91666666666666663</v>
      </c>
      <c r="L1495" s="301">
        <f>J1495</f>
        <v>100</v>
      </c>
      <c r="M1495" s="136"/>
    </row>
    <row r="1496" spans="1:13">
      <c r="A1496" s="93"/>
      <c r="B1496" s="83"/>
      <c r="C1496" s="65" t="s">
        <v>45</v>
      </c>
      <c r="D1496" s="66">
        <f>SUM(D1494:D1495)</f>
        <v>20000000</v>
      </c>
      <c r="E1496" s="66">
        <f>SUM(E1494:E1495)</f>
        <v>0</v>
      </c>
      <c r="F1496" s="66">
        <f t="shared" ref="F1496" si="587">SUM(F1494:F1495)</f>
        <v>0</v>
      </c>
      <c r="G1496" s="122">
        <f>SUM(G1494:G1495)</f>
        <v>20000000</v>
      </c>
      <c r="H1496" s="302">
        <f>G1496/D1496*100</f>
        <v>100</v>
      </c>
      <c r="I1496" s="537">
        <f>SUM(I1494:I1495)</f>
        <v>20000000</v>
      </c>
      <c r="J1496" s="302">
        <f>I1496/D1496*100</f>
        <v>100</v>
      </c>
      <c r="K1496" s="356">
        <f>K1495</f>
        <v>0.91666666666666663</v>
      </c>
      <c r="L1496" s="302">
        <f>L1495</f>
        <v>100</v>
      </c>
      <c r="M1496" s="66"/>
    </row>
    <row r="1497" spans="1:13">
      <c r="A1497" s="84">
        <v>18</v>
      </c>
      <c r="B1497" s="75" t="s">
        <v>82</v>
      </c>
      <c r="C1497" s="76"/>
      <c r="D1497" s="57"/>
      <c r="E1497" s="119"/>
      <c r="F1497" s="131"/>
      <c r="G1497" s="119"/>
      <c r="H1497" s="152"/>
      <c r="I1497" s="119"/>
      <c r="J1497" s="152"/>
      <c r="K1497" s="152"/>
      <c r="L1497" s="152"/>
      <c r="M1497" s="131"/>
    </row>
    <row r="1498" spans="1:13" ht="26.25">
      <c r="A1498" s="84"/>
      <c r="B1498" s="94" t="s">
        <v>29</v>
      </c>
      <c r="C1498" s="48" t="s">
        <v>92</v>
      </c>
      <c r="D1498" s="60">
        <v>7500000</v>
      </c>
      <c r="E1498" s="120">
        <v>0</v>
      </c>
      <c r="F1498" s="132">
        <v>0</v>
      </c>
      <c r="G1498" s="199">
        <v>7500000</v>
      </c>
      <c r="H1498" s="301">
        <f>G1498/D1498*100</f>
        <v>100</v>
      </c>
      <c r="I1498" s="192">
        <f>G1498</f>
        <v>7500000</v>
      </c>
      <c r="J1498" s="301">
        <f>I1498/D1498*100</f>
        <v>100</v>
      </c>
      <c r="K1498" s="331">
        <f>11/12</f>
        <v>0.91666666666666663</v>
      </c>
      <c r="L1498" s="311">
        <f>J1498</f>
        <v>100</v>
      </c>
      <c r="M1498" s="131"/>
    </row>
    <row r="1499" spans="1:13" ht="26.25">
      <c r="A1499" s="84"/>
      <c r="B1499" s="94" t="s">
        <v>83</v>
      </c>
      <c r="C1499" s="48" t="s">
        <v>93</v>
      </c>
      <c r="D1499" s="62">
        <v>10000000</v>
      </c>
      <c r="E1499" s="121">
        <v>0</v>
      </c>
      <c r="F1499" s="133">
        <v>0</v>
      </c>
      <c r="G1499" s="200">
        <v>10000000</v>
      </c>
      <c r="H1499" s="301">
        <f>G1499/D1499*100</f>
        <v>100</v>
      </c>
      <c r="I1499" s="200">
        <f>G1499</f>
        <v>10000000</v>
      </c>
      <c r="J1499" s="301">
        <f>I1499/D1499*100</f>
        <v>100</v>
      </c>
      <c r="K1499" s="331">
        <f>11/12</f>
        <v>0.91666666666666663</v>
      </c>
      <c r="L1499" s="311">
        <f>J1499</f>
        <v>100</v>
      </c>
      <c r="M1499" s="131"/>
    </row>
    <row r="1500" spans="1:13">
      <c r="A1500" s="93"/>
      <c r="B1500" s="64"/>
      <c r="C1500" s="65" t="s">
        <v>45</v>
      </c>
      <c r="D1500" s="66">
        <f>SUM(D1498:D1499)</f>
        <v>17500000</v>
      </c>
      <c r="E1500" s="66">
        <f t="shared" ref="E1500:F1500" si="588">SUM(E1498:E1499)</f>
        <v>0</v>
      </c>
      <c r="F1500" s="66">
        <f t="shared" si="588"/>
        <v>0</v>
      </c>
      <c r="G1500" s="122">
        <f>SUM(G1498:G1499)</f>
        <v>17500000</v>
      </c>
      <c r="H1500" s="302">
        <f>G1500/D1500*100</f>
        <v>100</v>
      </c>
      <c r="I1500" s="122">
        <f t="shared" ref="I1500" si="589">SUM(I1498:I1499)</f>
        <v>17500000</v>
      </c>
      <c r="J1500" s="302">
        <f>I1500/D1500*100</f>
        <v>100</v>
      </c>
      <c r="K1500" s="356">
        <f>K1499</f>
        <v>0.91666666666666663</v>
      </c>
      <c r="L1500" s="302">
        <f>SUM(L1499:L1499)</f>
        <v>100</v>
      </c>
      <c r="M1500" s="66"/>
    </row>
    <row r="1501" spans="1:13">
      <c r="A1501" s="99">
        <v>26</v>
      </c>
      <c r="B1501" s="104" t="s">
        <v>105</v>
      </c>
      <c r="C1501" s="105"/>
      <c r="D1501" s="57"/>
      <c r="E1501" s="119"/>
      <c r="F1501" s="131"/>
      <c r="G1501" s="119"/>
      <c r="H1501" s="152"/>
      <c r="I1501" s="119"/>
      <c r="J1501" s="152"/>
      <c r="K1501" s="152"/>
      <c r="L1501" s="152"/>
      <c r="M1501" s="131"/>
    </row>
    <row r="1502" spans="1:13">
      <c r="A1502" s="44"/>
      <c r="B1502" s="47" t="s">
        <v>84</v>
      </c>
      <c r="C1502" s="48" t="s">
        <v>106</v>
      </c>
      <c r="D1502" s="60">
        <v>5000000</v>
      </c>
      <c r="E1502" s="120" t="s">
        <v>132</v>
      </c>
      <c r="F1502" s="132">
        <v>0</v>
      </c>
      <c r="G1502" s="120">
        <v>5000000</v>
      </c>
      <c r="H1502" s="301">
        <f>G1502/D1502*100</f>
        <v>100</v>
      </c>
      <c r="I1502" s="192">
        <f>G1502</f>
        <v>5000000</v>
      </c>
      <c r="J1502" s="301">
        <f>I1502/D1502*100</f>
        <v>100</v>
      </c>
      <c r="K1502" s="349">
        <f>11/12</f>
        <v>0.91666666666666663</v>
      </c>
      <c r="L1502" s="59">
        <f>J1502</f>
        <v>100</v>
      </c>
      <c r="M1502" s="132"/>
    </row>
    <row r="1503" spans="1:13">
      <c r="A1503" s="63"/>
      <c r="B1503" s="64"/>
      <c r="C1503" s="65" t="s">
        <v>45</v>
      </c>
      <c r="D1503" s="66">
        <f>SUM(D1502)</f>
        <v>5000000</v>
      </c>
      <c r="E1503" s="66">
        <v>0</v>
      </c>
      <c r="F1503" s="66">
        <f t="shared" ref="F1503" si="590">SUM(F1500:F1502)</f>
        <v>0</v>
      </c>
      <c r="G1503" s="122">
        <f>SUM(G1502)</f>
        <v>5000000</v>
      </c>
      <c r="H1503" s="302">
        <f>G1503/D1503*100</f>
        <v>100</v>
      </c>
      <c r="I1503" s="122">
        <f>SUM(I1502)</f>
        <v>5000000</v>
      </c>
      <c r="J1503" s="302">
        <f>I1503/D1503*100</f>
        <v>100</v>
      </c>
      <c r="K1503" s="350">
        <f>K1502</f>
        <v>0.91666666666666663</v>
      </c>
      <c r="L1503" s="66">
        <f>J1503</f>
        <v>100</v>
      </c>
      <c r="M1503" s="66"/>
    </row>
    <row r="1504" spans="1:13">
      <c r="A1504" s="99">
        <v>16</v>
      </c>
      <c r="B1504" s="104" t="s">
        <v>123</v>
      </c>
      <c r="C1504" s="105"/>
      <c r="D1504" s="57"/>
      <c r="E1504" s="119"/>
      <c r="F1504" s="131"/>
      <c r="G1504" s="119"/>
      <c r="H1504" s="152"/>
      <c r="I1504" s="119"/>
      <c r="J1504" s="152"/>
      <c r="K1504" s="152"/>
      <c r="L1504" s="152"/>
      <c r="M1504" s="131"/>
    </row>
    <row r="1505" spans="1:14">
      <c r="A1505" s="84"/>
      <c r="B1505" s="185" t="s">
        <v>124</v>
      </c>
      <c r="C1505" s="186"/>
      <c r="D1505" s="182"/>
      <c r="E1505" s="124"/>
      <c r="F1505" s="131"/>
      <c r="G1505" s="131"/>
      <c r="H1505" s="152"/>
      <c r="I1505" s="131"/>
      <c r="J1505" s="152"/>
      <c r="K1505" s="152"/>
      <c r="L1505" s="152"/>
      <c r="M1505" s="152"/>
    </row>
    <row r="1506" spans="1:14" ht="26.25">
      <c r="A1506" s="44"/>
      <c r="B1506" s="282" t="s">
        <v>46</v>
      </c>
      <c r="C1506" s="50" t="s">
        <v>217</v>
      </c>
      <c r="D1506" s="60">
        <v>0</v>
      </c>
      <c r="E1506" s="125">
        <v>0</v>
      </c>
      <c r="F1506" s="135">
        <v>0</v>
      </c>
      <c r="G1506" s="124">
        <v>0</v>
      </c>
      <c r="H1506" s="59" t="s">
        <v>132</v>
      </c>
      <c r="I1506" s="124">
        <v>0</v>
      </c>
      <c r="J1506" s="59" t="s">
        <v>132</v>
      </c>
      <c r="K1506" s="59">
        <v>0</v>
      </c>
      <c r="L1506" s="59">
        <v>0</v>
      </c>
      <c r="M1506" s="59"/>
    </row>
    <row r="1507" spans="1:14">
      <c r="A1507" s="44"/>
      <c r="B1507" s="163" t="s">
        <v>111</v>
      </c>
      <c r="C1507" s="204" t="s">
        <v>81</v>
      </c>
      <c r="D1507" s="205">
        <v>3000000</v>
      </c>
      <c r="E1507" s="125">
        <v>0</v>
      </c>
      <c r="F1507" s="135">
        <v>0</v>
      </c>
      <c r="G1507" s="201">
        <v>3000000</v>
      </c>
      <c r="H1507" s="301">
        <f>G1507/D1507*100</f>
        <v>100</v>
      </c>
      <c r="I1507" s="201">
        <f>G1507</f>
        <v>3000000</v>
      </c>
      <c r="J1507" s="528">
        <f>I1507/D1507*100</f>
        <v>100</v>
      </c>
      <c r="K1507" s="349">
        <f>11/12</f>
        <v>0.91666666666666663</v>
      </c>
      <c r="L1507" s="187">
        <f>J1507</f>
        <v>100</v>
      </c>
      <c r="M1507" s="188"/>
    </row>
    <row r="1508" spans="1:14">
      <c r="A1508" s="63"/>
      <c r="B1508" s="64"/>
      <c r="C1508" s="65" t="s">
        <v>45</v>
      </c>
      <c r="D1508" s="66">
        <f>SUM(D1506:D1507)</f>
        <v>3000000</v>
      </c>
      <c r="E1508" s="66">
        <f>SUM(E1506:E1507)</f>
        <v>0</v>
      </c>
      <c r="F1508" s="66">
        <f>SUM(F1506:F1507)</f>
        <v>0</v>
      </c>
      <c r="G1508" s="122">
        <f>SUM(G1507)</f>
        <v>3000000</v>
      </c>
      <c r="H1508" s="302">
        <f>G1508/D1508*100</f>
        <v>100</v>
      </c>
      <c r="I1508" s="122">
        <f>SUM(I1506:I1507)</f>
        <v>3000000</v>
      </c>
      <c r="J1508" s="324">
        <f>I1508/D1508*100</f>
        <v>100</v>
      </c>
      <c r="K1508" s="350">
        <f>K1507</f>
        <v>0.91666666666666663</v>
      </c>
      <c r="L1508" s="66">
        <f>SUM(L1506:L1507)</f>
        <v>100</v>
      </c>
      <c r="M1508" s="66"/>
    </row>
    <row r="1509" spans="1:14">
      <c r="A1509" s="99">
        <v>17</v>
      </c>
      <c r="B1509" s="104" t="s">
        <v>127</v>
      </c>
      <c r="C1509" s="105"/>
      <c r="D1509" s="57"/>
      <c r="E1509" s="119"/>
      <c r="F1509" s="131"/>
      <c r="G1509" s="119"/>
      <c r="H1509" s="152"/>
      <c r="I1509" s="119"/>
      <c r="J1509" s="152"/>
      <c r="K1509" s="152"/>
      <c r="L1509" s="152"/>
      <c r="M1509" s="131"/>
    </row>
    <row r="1510" spans="1:14" ht="26.25">
      <c r="A1510" s="44"/>
      <c r="B1510" s="47" t="s">
        <v>84</v>
      </c>
      <c r="C1510" s="48" t="s">
        <v>128</v>
      </c>
      <c r="D1510" s="60">
        <v>0</v>
      </c>
      <c r="E1510" s="120">
        <v>0</v>
      </c>
      <c r="F1510" s="132">
        <v>0</v>
      </c>
      <c r="G1510" s="120" t="s">
        <v>132</v>
      </c>
      <c r="H1510" s="59" t="s">
        <v>132</v>
      </c>
      <c r="I1510" s="120">
        <v>0</v>
      </c>
      <c r="J1510" s="59" t="s">
        <v>132</v>
      </c>
      <c r="K1510" s="157">
        <v>0</v>
      </c>
      <c r="L1510" s="59">
        <v>0</v>
      </c>
      <c r="M1510" s="132"/>
    </row>
    <row r="1511" spans="1:14">
      <c r="A1511" s="63"/>
      <c r="B1511" s="64"/>
      <c r="C1511" s="65" t="s">
        <v>45</v>
      </c>
      <c r="D1511" s="66">
        <f>SUM(D1510)</f>
        <v>0</v>
      </c>
      <c r="E1511" s="66">
        <f t="shared" ref="E1511:F1511" si="591">SUM(E1508:E1510)</f>
        <v>0</v>
      </c>
      <c r="F1511" s="66">
        <f t="shared" si="591"/>
        <v>0</v>
      </c>
      <c r="G1511" s="122" t="s">
        <v>132</v>
      </c>
      <c r="H1511" s="66" t="s">
        <v>132</v>
      </c>
      <c r="I1511" s="122" t="s">
        <v>132</v>
      </c>
      <c r="J1511" s="66" t="s">
        <v>132</v>
      </c>
      <c r="K1511" s="66">
        <f>SUM(K1510)</f>
        <v>0</v>
      </c>
      <c r="L1511" s="66">
        <v>0</v>
      </c>
      <c r="M1511" s="66"/>
    </row>
    <row r="1512" spans="1:14">
      <c r="A1512" s="44">
        <v>18</v>
      </c>
      <c r="B1512" s="104" t="s">
        <v>218</v>
      </c>
      <c r="C1512" s="105"/>
      <c r="D1512" s="70"/>
      <c r="E1512" s="70"/>
      <c r="F1512" s="70"/>
      <c r="G1512" s="287"/>
      <c r="H1512" s="70"/>
      <c r="I1512" s="287"/>
      <c r="J1512" s="70"/>
      <c r="K1512" s="70"/>
      <c r="L1512" s="70"/>
      <c r="M1512" s="70"/>
    </row>
    <row r="1513" spans="1:14" ht="25.5">
      <c r="A1513" s="44"/>
      <c r="B1513" s="283" t="s">
        <v>83</v>
      </c>
      <c r="C1513" s="284" t="s">
        <v>219</v>
      </c>
      <c r="D1513" s="288">
        <v>16200000</v>
      </c>
      <c r="E1513" s="285">
        <v>0</v>
      </c>
      <c r="F1513" s="285">
        <v>0</v>
      </c>
      <c r="G1513" s="286">
        <v>16200000</v>
      </c>
      <c r="H1513" s="301">
        <f>G1513/D1513*100</f>
        <v>100</v>
      </c>
      <c r="I1513" s="286">
        <f>G1513</f>
        <v>16200000</v>
      </c>
      <c r="J1513" s="301">
        <f>I1513/D1513*100</f>
        <v>100</v>
      </c>
      <c r="K1513" s="349">
        <f>11/12</f>
        <v>0.91666666666666663</v>
      </c>
      <c r="L1513" s="323">
        <f>J1513</f>
        <v>100</v>
      </c>
      <c r="M1513" s="285"/>
    </row>
    <row r="1514" spans="1:14">
      <c r="A1514" s="63"/>
      <c r="B1514" s="64"/>
      <c r="C1514" s="65" t="s">
        <v>45</v>
      </c>
      <c r="D1514" s="66">
        <f>SUM(D1513)</f>
        <v>16200000</v>
      </c>
      <c r="E1514" s="66">
        <v>0</v>
      </c>
      <c r="F1514" s="66">
        <v>0</v>
      </c>
      <c r="G1514" s="122">
        <f>SUM(G1513)</f>
        <v>16200000</v>
      </c>
      <c r="H1514" s="302">
        <f>G1514/D1514*100</f>
        <v>100</v>
      </c>
      <c r="I1514" s="122">
        <f>SUM(I1513)</f>
        <v>16200000</v>
      </c>
      <c r="J1514" s="302">
        <f>I1514/D1514*100</f>
        <v>100</v>
      </c>
      <c r="K1514" s="350">
        <f>K1513</f>
        <v>0.91666666666666663</v>
      </c>
      <c r="L1514" s="302">
        <f>J1514</f>
        <v>100</v>
      </c>
      <c r="M1514" s="66"/>
    </row>
    <row r="1515" spans="1:14">
      <c r="A1515" s="44">
        <v>24</v>
      </c>
      <c r="B1515" s="104" t="s">
        <v>221</v>
      </c>
      <c r="C1515" s="105"/>
      <c r="D1515" s="70"/>
      <c r="E1515" s="70"/>
      <c r="F1515" s="70"/>
      <c r="G1515" s="287"/>
      <c r="H1515" s="70"/>
      <c r="I1515" s="287"/>
      <c r="J1515" s="70"/>
      <c r="K1515" s="70"/>
      <c r="L1515" s="70"/>
      <c r="M1515" s="70"/>
    </row>
    <row r="1516" spans="1:14">
      <c r="A1516" s="44"/>
      <c r="B1516" s="283" t="s">
        <v>83</v>
      </c>
      <c r="C1516" s="284" t="s">
        <v>222</v>
      </c>
      <c r="D1516" s="288">
        <v>51500000</v>
      </c>
      <c r="E1516" s="285">
        <v>0</v>
      </c>
      <c r="F1516" s="285">
        <v>0</v>
      </c>
      <c r="G1516" s="783">
        <v>51200000</v>
      </c>
      <c r="H1516" s="528">
        <f>G1516/D1516*100</f>
        <v>99.417475728155338</v>
      </c>
      <c r="I1516" s="783">
        <v>51200000</v>
      </c>
      <c r="J1516" s="301">
        <f>I1516/D1516*100</f>
        <v>99.417475728155338</v>
      </c>
      <c r="K1516" s="157">
        <v>0</v>
      </c>
      <c r="L1516" s="285">
        <v>0</v>
      </c>
      <c r="M1516" s="285"/>
    </row>
    <row r="1517" spans="1:14">
      <c r="A1517" s="63"/>
      <c r="B1517" s="64"/>
      <c r="C1517" s="65" t="s">
        <v>45</v>
      </c>
      <c r="D1517" s="66">
        <f>SUM(D1516)</f>
        <v>51500000</v>
      </c>
      <c r="E1517" s="66">
        <v>0</v>
      </c>
      <c r="F1517" s="66">
        <v>0</v>
      </c>
      <c r="G1517" s="122">
        <f>SUM(G1516)</f>
        <v>51200000</v>
      </c>
      <c r="H1517" s="756">
        <f>G1517/D1517*100</f>
        <v>99.417475728155338</v>
      </c>
      <c r="I1517" s="122">
        <f>SUM(I1516)</f>
        <v>51200000</v>
      </c>
      <c r="J1517" s="302">
        <f>I1517/D1517*100</f>
        <v>99.417475728155338</v>
      </c>
      <c r="K1517" s="66">
        <f>SUM(K1516)</f>
        <v>0</v>
      </c>
      <c r="L1517" s="66">
        <v>0</v>
      </c>
      <c r="M1517" s="748"/>
    </row>
    <row r="1518" spans="1:14" ht="15.75" thickBot="1">
      <c r="A1518" s="166"/>
      <c r="B1518" s="167" t="s">
        <v>85</v>
      </c>
      <c r="C1518" s="106"/>
      <c r="D1518" s="107">
        <f>D1412+D1409</f>
        <v>3077095040</v>
      </c>
      <c r="E1518" s="107">
        <f>E1412+E1409</f>
        <v>0</v>
      </c>
      <c r="F1518" s="107">
        <f>F1412+F1409</f>
        <v>0</v>
      </c>
      <c r="G1518" s="107">
        <f>G1409+G1412</f>
        <v>2767525322</v>
      </c>
      <c r="H1518" s="213">
        <f>G1518/D1518*100</f>
        <v>89.93954642362948</v>
      </c>
      <c r="I1518" s="107">
        <f>I1412+I1409</f>
        <v>2767525322</v>
      </c>
      <c r="J1518" s="213">
        <f>I1518/D1518*100</f>
        <v>89.93954642362948</v>
      </c>
      <c r="K1518" s="674">
        <f>11/12</f>
        <v>0.91666666666666663</v>
      </c>
      <c r="L1518" s="213">
        <f>J1518</f>
        <v>89.93954642362948</v>
      </c>
      <c r="M1518" s="158"/>
    </row>
    <row r="1519" spans="1:14" ht="15.75" thickTop="1">
      <c r="A1519" s="342"/>
      <c r="B1519" s="343"/>
      <c r="C1519" s="344"/>
      <c r="D1519" s="773"/>
      <c r="E1519" s="345"/>
      <c r="F1519" s="345"/>
      <c r="G1519" s="527"/>
      <c r="H1519" s="529"/>
      <c r="I1519" s="345"/>
      <c r="J1519" s="346"/>
      <c r="K1519" s="347"/>
      <c r="L1519" s="346"/>
      <c r="M1519" s="348"/>
    </row>
    <row r="1520" spans="1:14">
      <c r="A1520" s="168"/>
      <c r="B1520" s="169"/>
      <c r="C1520" s="170"/>
      <c r="D1520" s="171"/>
      <c r="E1520" s="108"/>
      <c r="G1520" s="782"/>
      <c r="H1520" s="128"/>
      <c r="I1520" s="159" t="s">
        <v>575</v>
      </c>
      <c r="J1520" s="128"/>
      <c r="L1520" s="128"/>
      <c r="M1520" s="128"/>
      <c r="N1520" s="161">
        <v>2820554352</v>
      </c>
    </row>
    <row r="1521" spans="1:14">
      <c r="A1521" s="172"/>
      <c r="B1521" s="169"/>
      <c r="C1521" s="173"/>
      <c r="D1521" s="171"/>
      <c r="E1521" s="174"/>
      <c r="H1521" s="128"/>
      <c r="I1521" s="159" t="s">
        <v>86</v>
      </c>
      <c r="J1521" s="128"/>
      <c r="L1521" s="128"/>
      <c r="M1521" s="128"/>
      <c r="N1521" s="161">
        <f>N1520/D1518*100</f>
        <v>91.66289358420336</v>
      </c>
    </row>
    <row r="1522" spans="1:14">
      <c r="A1522" s="172"/>
      <c r="B1522" s="169"/>
      <c r="C1522" s="173"/>
      <c r="D1522" s="171"/>
      <c r="E1522" s="174"/>
      <c r="H1522" s="128"/>
      <c r="I1522" s="159"/>
      <c r="J1522" s="128"/>
      <c r="L1522" s="128"/>
      <c r="M1522" s="128"/>
    </row>
    <row r="1523" spans="1:14">
      <c r="A1523" s="172"/>
      <c r="B1523" s="169"/>
      <c r="C1523" s="173"/>
      <c r="D1523" s="171"/>
      <c r="E1523" s="108"/>
      <c r="H1523" s="128"/>
      <c r="I1523" s="159"/>
      <c r="J1523" s="128"/>
      <c r="L1523" s="128"/>
      <c r="M1523" s="128"/>
    </row>
    <row r="1524" spans="1:14">
      <c r="A1524" s="175"/>
      <c r="B1524" s="176"/>
      <c r="C1524" s="177"/>
      <c r="D1524" s="171"/>
      <c r="E1524" s="108"/>
      <c r="G1524" s="128" t="s">
        <v>227</v>
      </c>
      <c r="H1524" s="128"/>
      <c r="I1524" s="160" t="s">
        <v>120</v>
      </c>
      <c r="J1524" s="128"/>
      <c r="L1524" s="128"/>
      <c r="M1524" s="128"/>
    </row>
    <row r="1525" spans="1:14">
      <c r="A1525" s="175"/>
      <c r="B1525" s="176"/>
      <c r="C1525" s="177"/>
      <c r="D1525" s="175"/>
      <c r="E1525" s="108"/>
      <c r="H1525" s="128"/>
      <c r="I1525" s="159" t="s">
        <v>491</v>
      </c>
      <c r="J1525" s="128"/>
      <c r="L1525" s="128"/>
      <c r="M1525" s="128"/>
    </row>
    <row r="1526" spans="1:14">
      <c r="A1526" s="175"/>
      <c r="B1526" s="176"/>
      <c r="C1526" s="177"/>
      <c r="D1526" s="175"/>
      <c r="E1526" s="108"/>
      <c r="H1526" s="128"/>
      <c r="I1526" s="159" t="s">
        <v>121</v>
      </c>
      <c r="J1526" s="128"/>
      <c r="L1526" s="128"/>
      <c r="M1526" s="128"/>
    </row>
  </sheetData>
  <mergeCells count="252">
    <mergeCell ref="B1228:C1228"/>
    <mergeCell ref="C1229:C1230"/>
    <mergeCell ref="B1232:C1232"/>
    <mergeCell ref="B1154:C1154"/>
    <mergeCell ref="B1199:C1199"/>
    <mergeCell ref="B1200:C1200"/>
    <mergeCell ref="B1205:C1205"/>
    <mergeCell ref="B1215:C1215"/>
    <mergeCell ref="B1216:C1216"/>
    <mergeCell ref="B1219:C1219"/>
    <mergeCell ref="B1222:C1222"/>
    <mergeCell ref="B1225:C1225"/>
    <mergeCell ref="A1146:M1146"/>
    <mergeCell ref="A1147:M1147"/>
    <mergeCell ref="A1151:A1153"/>
    <mergeCell ref="B1151:C1153"/>
    <mergeCell ref="G1151:J1151"/>
    <mergeCell ref="K1151:L1151"/>
    <mergeCell ref="M1151:M1153"/>
    <mergeCell ref="H1152:H1153"/>
    <mergeCell ref="J1152:J1153"/>
    <mergeCell ref="B1101:C1101"/>
    <mergeCell ref="C1102:C1103"/>
    <mergeCell ref="B1105:C1105"/>
    <mergeCell ref="B1027:C1027"/>
    <mergeCell ref="B1072:C1072"/>
    <mergeCell ref="B1073:C1073"/>
    <mergeCell ref="B1078:C1078"/>
    <mergeCell ref="B1088:C1088"/>
    <mergeCell ref="B1089:C1089"/>
    <mergeCell ref="B1092:C1092"/>
    <mergeCell ref="B1095:C1095"/>
    <mergeCell ref="B1098:C1098"/>
    <mergeCell ref="A1019:M1019"/>
    <mergeCell ref="A1020:M1020"/>
    <mergeCell ref="A1024:A1026"/>
    <mergeCell ref="B1024:C1026"/>
    <mergeCell ref="G1024:J1024"/>
    <mergeCell ref="K1024:L1024"/>
    <mergeCell ref="M1024:M1026"/>
    <mergeCell ref="H1025:H1026"/>
    <mergeCell ref="J1025:J1026"/>
    <mergeCell ref="B974:C974"/>
    <mergeCell ref="C975:C976"/>
    <mergeCell ref="B978:C978"/>
    <mergeCell ref="B900:C900"/>
    <mergeCell ref="B945:C945"/>
    <mergeCell ref="B946:C946"/>
    <mergeCell ref="B951:C951"/>
    <mergeCell ref="B961:C961"/>
    <mergeCell ref="B962:C962"/>
    <mergeCell ref="B965:C965"/>
    <mergeCell ref="B968:C968"/>
    <mergeCell ref="B971:C971"/>
    <mergeCell ref="A892:M892"/>
    <mergeCell ref="A893:M893"/>
    <mergeCell ref="A897:A899"/>
    <mergeCell ref="B897:C899"/>
    <mergeCell ref="G897:J897"/>
    <mergeCell ref="K897:L897"/>
    <mergeCell ref="M897:M899"/>
    <mergeCell ref="H898:H899"/>
    <mergeCell ref="J898:J899"/>
    <mergeCell ref="B847:C847"/>
    <mergeCell ref="C848:C849"/>
    <mergeCell ref="B851:C851"/>
    <mergeCell ref="B773:C773"/>
    <mergeCell ref="B818:C818"/>
    <mergeCell ref="B819:C819"/>
    <mergeCell ref="B824:C824"/>
    <mergeCell ref="B834:C834"/>
    <mergeCell ref="B835:C835"/>
    <mergeCell ref="B838:C838"/>
    <mergeCell ref="B841:C841"/>
    <mergeCell ref="B844:C844"/>
    <mergeCell ref="A765:M765"/>
    <mergeCell ref="A766:M766"/>
    <mergeCell ref="A770:A772"/>
    <mergeCell ref="B770:C772"/>
    <mergeCell ref="G770:J770"/>
    <mergeCell ref="K770:L770"/>
    <mergeCell ref="M770:M772"/>
    <mergeCell ref="H771:H772"/>
    <mergeCell ref="J771:J772"/>
    <mergeCell ref="B720:C720"/>
    <mergeCell ref="C721:C722"/>
    <mergeCell ref="B724:C724"/>
    <mergeCell ref="B646:C646"/>
    <mergeCell ref="B691:C691"/>
    <mergeCell ref="B692:C692"/>
    <mergeCell ref="B697:C697"/>
    <mergeCell ref="B707:C707"/>
    <mergeCell ref="B708:C708"/>
    <mergeCell ref="B711:C711"/>
    <mergeCell ref="B714:C714"/>
    <mergeCell ref="B717:C717"/>
    <mergeCell ref="A638:M638"/>
    <mergeCell ref="A639:M639"/>
    <mergeCell ref="A643:A645"/>
    <mergeCell ref="B643:C645"/>
    <mergeCell ref="G643:J643"/>
    <mergeCell ref="K643:L643"/>
    <mergeCell ref="M643:M645"/>
    <mergeCell ref="H644:H645"/>
    <mergeCell ref="J644:J645"/>
    <mergeCell ref="C594:C595"/>
    <mergeCell ref="B597:C597"/>
    <mergeCell ref="B581:C581"/>
    <mergeCell ref="B584:C584"/>
    <mergeCell ref="B587:C587"/>
    <mergeCell ref="B590:C590"/>
    <mergeCell ref="B593:C593"/>
    <mergeCell ref="B519:C519"/>
    <mergeCell ref="B564:C564"/>
    <mergeCell ref="B565:C565"/>
    <mergeCell ref="B570:C570"/>
    <mergeCell ref="B580:C580"/>
    <mergeCell ref="A511:M511"/>
    <mergeCell ref="A512:M512"/>
    <mergeCell ref="A516:A518"/>
    <mergeCell ref="B516:C518"/>
    <mergeCell ref="G516:J516"/>
    <mergeCell ref="K516:L516"/>
    <mergeCell ref="M516:M518"/>
    <mergeCell ref="H517:H518"/>
    <mergeCell ref="J517:J518"/>
    <mergeCell ref="C340:C341"/>
    <mergeCell ref="B343:C343"/>
    <mergeCell ref="B327:C327"/>
    <mergeCell ref="B330:C330"/>
    <mergeCell ref="B333:C333"/>
    <mergeCell ref="B336:C336"/>
    <mergeCell ref="B339:C339"/>
    <mergeCell ref="B265:C265"/>
    <mergeCell ref="B310:C310"/>
    <mergeCell ref="B311:C311"/>
    <mergeCell ref="B316:C316"/>
    <mergeCell ref="B326:C326"/>
    <mergeCell ref="A257:M257"/>
    <mergeCell ref="A258:M258"/>
    <mergeCell ref="A262:A264"/>
    <mergeCell ref="B262:C264"/>
    <mergeCell ref="G262:J262"/>
    <mergeCell ref="K262:L262"/>
    <mergeCell ref="M262:M264"/>
    <mergeCell ref="H263:H264"/>
    <mergeCell ref="J263:J264"/>
    <mergeCell ref="A1:M1"/>
    <mergeCell ref="A2:M2"/>
    <mergeCell ref="A6:A8"/>
    <mergeCell ref="B6:C8"/>
    <mergeCell ref="G6:J6"/>
    <mergeCell ref="K6:L6"/>
    <mergeCell ref="M6:M8"/>
    <mergeCell ref="H7:H8"/>
    <mergeCell ref="J7:J8"/>
    <mergeCell ref="B87:C87"/>
    <mergeCell ref="B77:C77"/>
    <mergeCell ref="B80:C80"/>
    <mergeCell ref="B9:C9"/>
    <mergeCell ref="B54:C54"/>
    <mergeCell ref="B60:C60"/>
    <mergeCell ref="B70:C70"/>
    <mergeCell ref="B55:C55"/>
    <mergeCell ref="B71:C71"/>
    <mergeCell ref="C84:C85"/>
    <mergeCell ref="B74:C74"/>
    <mergeCell ref="B83:C83"/>
    <mergeCell ref="A130:M130"/>
    <mergeCell ref="A131:M131"/>
    <mergeCell ref="A135:A137"/>
    <mergeCell ref="B135:C137"/>
    <mergeCell ref="G135:J135"/>
    <mergeCell ref="K135:L135"/>
    <mergeCell ref="M135:M137"/>
    <mergeCell ref="H136:H137"/>
    <mergeCell ref="J136:J137"/>
    <mergeCell ref="B138:C138"/>
    <mergeCell ref="B183:C183"/>
    <mergeCell ref="B184:C184"/>
    <mergeCell ref="B189:C189"/>
    <mergeCell ref="B199:C199"/>
    <mergeCell ref="C213:C214"/>
    <mergeCell ref="B216:C216"/>
    <mergeCell ref="B200:C200"/>
    <mergeCell ref="B203:C203"/>
    <mergeCell ref="B206:C206"/>
    <mergeCell ref="B209:C209"/>
    <mergeCell ref="B212:C212"/>
    <mergeCell ref="A384:M384"/>
    <mergeCell ref="A385:M385"/>
    <mergeCell ref="A389:A391"/>
    <mergeCell ref="B389:C391"/>
    <mergeCell ref="G389:J389"/>
    <mergeCell ref="K389:L389"/>
    <mergeCell ref="M389:M391"/>
    <mergeCell ref="H390:H391"/>
    <mergeCell ref="J390:J391"/>
    <mergeCell ref="B392:C392"/>
    <mergeCell ref="B437:C437"/>
    <mergeCell ref="B438:C438"/>
    <mergeCell ref="B443:C443"/>
    <mergeCell ref="B453:C453"/>
    <mergeCell ref="C467:C468"/>
    <mergeCell ref="B470:C470"/>
    <mergeCell ref="B454:C454"/>
    <mergeCell ref="B457:C457"/>
    <mergeCell ref="B460:C460"/>
    <mergeCell ref="B463:C463"/>
    <mergeCell ref="B466:C466"/>
    <mergeCell ref="A1273:M1273"/>
    <mergeCell ref="A1274:M1274"/>
    <mergeCell ref="A1278:A1280"/>
    <mergeCell ref="B1278:C1280"/>
    <mergeCell ref="G1278:J1278"/>
    <mergeCell ref="K1278:L1278"/>
    <mergeCell ref="M1278:M1280"/>
    <mergeCell ref="H1279:H1280"/>
    <mergeCell ref="J1279:J1280"/>
    <mergeCell ref="B1355:C1355"/>
    <mergeCell ref="C1356:C1357"/>
    <mergeCell ref="B1359:C1359"/>
    <mergeCell ref="B1281:C1281"/>
    <mergeCell ref="B1326:C1326"/>
    <mergeCell ref="B1327:C1327"/>
    <mergeCell ref="B1332:C1332"/>
    <mergeCell ref="B1342:C1342"/>
    <mergeCell ref="B1343:C1343"/>
    <mergeCell ref="B1346:C1346"/>
    <mergeCell ref="B1349:C1349"/>
    <mergeCell ref="B1352:C1352"/>
    <mergeCell ref="A1400:M1400"/>
    <mergeCell ref="A1401:M1401"/>
    <mergeCell ref="A1405:A1407"/>
    <mergeCell ref="B1405:C1407"/>
    <mergeCell ref="G1405:J1405"/>
    <mergeCell ref="K1405:L1405"/>
    <mergeCell ref="M1405:M1407"/>
    <mergeCell ref="H1406:H1407"/>
    <mergeCell ref="J1406:J1407"/>
    <mergeCell ref="B1482:C1482"/>
    <mergeCell ref="C1483:C1484"/>
    <mergeCell ref="B1486:C1486"/>
    <mergeCell ref="B1408:C1408"/>
    <mergeCell ref="B1453:C1453"/>
    <mergeCell ref="B1454:C1454"/>
    <mergeCell ref="B1459:C1459"/>
    <mergeCell ref="B1469:C1469"/>
    <mergeCell ref="B1470:C1470"/>
    <mergeCell ref="B1473:C1473"/>
    <mergeCell ref="B1476:C1476"/>
    <mergeCell ref="B1479:C1479"/>
  </mergeCells>
  <pageMargins left="0.39370078740157483" right="0" top="0.15748031496062992" bottom="0.19685039370078741" header="0.23622047244094491" footer="0.15748031496062992"/>
  <pageSetup paperSize="5" scale="90" orientation="landscape" horizontalDpi="4294967293" verticalDpi="300" r:id="rId1"/>
  <rowBreaks count="3" manualBreakCount="3">
    <brk id="40" max="16383" man="1"/>
    <brk id="69" max="12" man="1"/>
    <brk id="9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view="pageBreakPreview" zoomScaleSheetLayoutView="100" workbookViewId="0">
      <selection activeCell="C9" sqref="C9:F9"/>
    </sheetView>
  </sheetViews>
  <sheetFormatPr defaultRowHeight="15"/>
  <cols>
    <col min="1" max="1" width="5.140625" customWidth="1"/>
    <col min="2" max="2" width="47.85546875" customWidth="1"/>
    <col min="3" max="4" width="22.42578125" customWidth="1"/>
    <col min="5" max="5" width="24.140625" customWidth="1"/>
    <col min="6" max="6" width="26.140625" customWidth="1"/>
  </cols>
  <sheetData>
    <row r="1" spans="1:6" ht="15.75">
      <c r="A1" s="848" t="s">
        <v>97</v>
      </c>
      <c r="B1" s="848"/>
      <c r="C1" s="848"/>
      <c r="D1" s="848"/>
      <c r="E1" s="848"/>
      <c r="F1" s="848"/>
    </row>
    <row r="2" spans="1:6" ht="15.75">
      <c r="A2" s="848" t="s">
        <v>208</v>
      </c>
      <c r="B2" s="848"/>
      <c r="C2" s="848"/>
      <c r="D2" s="848"/>
      <c r="E2" s="848"/>
      <c r="F2" s="848"/>
    </row>
    <row r="3" spans="1:6" ht="15.75">
      <c r="A3" s="277"/>
      <c r="B3" s="277"/>
      <c r="C3" s="277"/>
      <c r="D3" s="277"/>
      <c r="E3" s="277"/>
      <c r="F3" s="277"/>
    </row>
    <row r="4" spans="1:6" ht="15.75">
      <c r="A4" s="277" t="s">
        <v>213</v>
      </c>
      <c r="B4" s="278" t="s">
        <v>214</v>
      </c>
      <c r="C4" s="277"/>
      <c r="D4" s="277"/>
      <c r="E4" s="277"/>
      <c r="F4" s="277"/>
    </row>
    <row r="5" spans="1:6" ht="15.75">
      <c r="A5" s="19"/>
      <c r="B5" s="19"/>
      <c r="C5" s="20"/>
      <c r="D5" s="20"/>
      <c r="E5" s="20"/>
      <c r="F5" s="20"/>
    </row>
    <row r="6" spans="1:6" ht="31.5">
      <c r="A6" s="21" t="s">
        <v>3</v>
      </c>
      <c r="B6" s="21" t="s">
        <v>212</v>
      </c>
      <c r="C6" s="22" t="s">
        <v>98</v>
      </c>
      <c r="D6" s="22" t="s">
        <v>99</v>
      </c>
      <c r="E6" s="22" t="s">
        <v>100</v>
      </c>
      <c r="F6" s="22" t="s">
        <v>101</v>
      </c>
    </row>
    <row r="7" spans="1:6" ht="56.25" customHeight="1">
      <c r="A7" s="23">
        <v>1</v>
      </c>
      <c r="B7" s="24" t="s">
        <v>209</v>
      </c>
      <c r="C7" s="25" t="s">
        <v>136</v>
      </c>
      <c r="D7" s="25" t="s">
        <v>137</v>
      </c>
      <c r="E7" s="26" t="s">
        <v>138</v>
      </c>
      <c r="F7" s="25">
        <v>685720</v>
      </c>
    </row>
    <row r="8" spans="1:6" ht="56.25" customHeight="1">
      <c r="A8" s="23">
        <v>2</v>
      </c>
      <c r="B8" s="24" t="s">
        <v>210</v>
      </c>
      <c r="C8" s="849" t="s">
        <v>176</v>
      </c>
      <c r="D8" s="850"/>
      <c r="E8" s="850"/>
      <c r="F8" s="851"/>
    </row>
    <row r="9" spans="1:6" ht="56.25" customHeight="1">
      <c r="A9" s="23">
        <v>3</v>
      </c>
      <c r="B9" s="24" t="s">
        <v>211</v>
      </c>
      <c r="C9" s="849" t="s">
        <v>176</v>
      </c>
      <c r="D9" s="850"/>
      <c r="E9" s="850"/>
      <c r="F9" s="851"/>
    </row>
    <row r="10" spans="1:6" ht="15.75">
      <c r="A10" s="19"/>
      <c r="B10" s="19"/>
      <c r="C10" s="19"/>
      <c r="D10" s="19"/>
      <c r="E10" s="19"/>
      <c r="F10" s="19"/>
    </row>
    <row r="11" spans="1:6" ht="15.75">
      <c r="A11" s="19"/>
      <c r="B11" s="19"/>
      <c r="C11" s="19"/>
      <c r="D11" s="19"/>
      <c r="E11" s="27" t="s">
        <v>215</v>
      </c>
      <c r="F11" s="19"/>
    </row>
    <row r="12" spans="1:6" ht="15.75">
      <c r="A12" s="19"/>
      <c r="B12" s="19"/>
      <c r="C12" s="19"/>
      <c r="D12" s="19"/>
      <c r="E12" s="27" t="s">
        <v>86</v>
      </c>
      <c r="F12" s="19"/>
    </row>
    <row r="13" spans="1:6" ht="15.75">
      <c r="A13" s="19"/>
      <c r="B13" s="19"/>
      <c r="C13" s="19"/>
      <c r="D13" s="19"/>
      <c r="E13" s="27"/>
      <c r="F13" s="19"/>
    </row>
    <row r="14" spans="1:6" ht="15.75">
      <c r="A14" s="19"/>
      <c r="B14" s="19"/>
      <c r="C14" s="19"/>
      <c r="D14" s="19"/>
      <c r="E14" s="27"/>
      <c r="F14" s="19"/>
    </row>
    <row r="15" spans="1:6" ht="15.75">
      <c r="A15" s="19"/>
      <c r="B15" s="19"/>
      <c r="C15" s="19"/>
      <c r="D15" s="19"/>
      <c r="E15" s="28" t="s">
        <v>139</v>
      </c>
      <c r="F15" s="19"/>
    </row>
    <row r="16" spans="1:6" ht="15.75">
      <c r="A16" s="19"/>
      <c r="B16" s="19"/>
      <c r="C16" s="19"/>
      <c r="D16" s="19"/>
      <c r="E16" s="27" t="s">
        <v>141</v>
      </c>
      <c r="F16" s="19"/>
    </row>
    <row r="17" spans="1:6" ht="15.75">
      <c r="A17" s="19"/>
      <c r="B17" s="19"/>
      <c r="C17" s="19"/>
      <c r="D17" s="19"/>
      <c r="E17" s="27" t="s">
        <v>140</v>
      </c>
      <c r="F17" s="19"/>
    </row>
  </sheetData>
  <mergeCells count="4">
    <mergeCell ref="A1:F1"/>
    <mergeCell ref="A2:F2"/>
    <mergeCell ref="C8:F8"/>
    <mergeCell ref="C9:F9"/>
  </mergeCells>
  <pageMargins left="0.70866141732283472" right="0.31496062992125984" top="0.35433070866141736" bottom="0.94488188976377963" header="0.31496062992125984" footer="0.31496062992125984"/>
  <pageSetup paperSize="5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4"/>
  <sheetViews>
    <sheetView topLeftCell="A10" zoomScale="90" zoomScaleNormal="90" workbookViewId="0">
      <selection activeCell="E25" sqref="E25:F30"/>
    </sheetView>
  </sheetViews>
  <sheetFormatPr defaultRowHeight="15"/>
  <cols>
    <col min="1" max="1" width="4.42578125" customWidth="1"/>
    <col min="2" max="2" width="5.28515625" customWidth="1"/>
    <col min="3" max="3" width="4.42578125" customWidth="1"/>
    <col min="4" max="4" width="17.140625" customWidth="1"/>
    <col min="5" max="5" width="11.5703125" customWidth="1"/>
    <col min="6" max="6" width="9.7109375" customWidth="1"/>
    <col min="7" max="7" width="6.7109375" customWidth="1"/>
    <col min="8" max="8" width="7.28515625" customWidth="1"/>
    <col min="9" max="9" width="7.140625" customWidth="1"/>
    <col min="10" max="10" width="8.28515625" customWidth="1"/>
    <col min="11" max="11" width="4.28515625" customWidth="1"/>
    <col min="13" max="13" width="4.7109375" customWidth="1"/>
    <col min="14" max="14" width="5.5703125" customWidth="1"/>
    <col min="15" max="15" width="8.28515625" customWidth="1"/>
    <col min="16" max="16" width="12.85546875" customWidth="1"/>
    <col min="17" max="17" width="4.5703125" customWidth="1"/>
    <col min="18" max="18" width="5.42578125" customWidth="1"/>
    <col min="19" max="19" width="6.85546875" customWidth="1"/>
    <col min="20" max="20" width="12.7109375" customWidth="1"/>
    <col min="21" max="21" width="5.85546875" customWidth="1"/>
  </cols>
  <sheetData>
    <row r="1" spans="1:21">
      <c r="A1" s="860" t="s">
        <v>142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</row>
    <row r="2" spans="1:21">
      <c r="A2" s="860" t="s">
        <v>0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  <c r="S2" s="860"/>
      <c r="T2" s="860"/>
      <c r="U2" s="860"/>
    </row>
    <row r="3" spans="1:21">
      <c r="A3" s="219" t="s">
        <v>1</v>
      </c>
      <c r="B3" s="220"/>
      <c r="C3" s="220"/>
      <c r="D3" s="221" t="s">
        <v>194</v>
      </c>
      <c r="E3" s="222"/>
      <c r="F3" s="223"/>
      <c r="G3" s="224"/>
      <c r="H3" s="225"/>
      <c r="I3" s="226"/>
      <c r="J3" s="225"/>
      <c r="K3" s="227"/>
      <c r="L3" s="227"/>
      <c r="M3" s="225"/>
      <c r="N3" s="228"/>
      <c r="O3" s="229"/>
      <c r="P3" s="229"/>
      <c r="Q3" s="229"/>
      <c r="R3" s="229"/>
      <c r="S3" s="229"/>
      <c r="T3" s="229"/>
      <c r="U3" s="229"/>
    </row>
    <row r="4" spans="1:21" ht="21" customHeight="1">
      <c r="A4" s="225" t="s">
        <v>203</v>
      </c>
      <c r="B4" s="230"/>
      <c r="C4" s="230"/>
      <c r="D4" s="221" t="s">
        <v>195</v>
      </c>
      <c r="E4" s="222"/>
      <c r="F4" s="223"/>
      <c r="G4" s="224"/>
      <c r="H4" s="225"/>
      <c r="I4" s="226"/>
      <c r="J4" s="225"/>
      <c r="K4" s="227"/>
      <c r="L4" s="227"/>
      <c r="M4" s="225"/>
      <c r="N4" s="228"/>
      <c r="O4" s="229"/>
      <c r="P4" s="229"/>
      <c r="Q4" s="229"/>
      <c r="R4" s="229"/>
      <c r="S4" s="229"/>
      <c r="T4" s="229"/>
      <c r="U4" s="229"/>
    </row>
    <row r="5" spans="1:21" ht="21" customHeight="1">
      <c r="A5" s="225" t="s">
        <v>143</v>
      </c>
      <c r="B5" s="230"/>
      <c r="C5" s="230"/>
      <c r="D5" s="221" t="s">
        <v>196</v>
      </c>
      <c r="E5" s="222"/>
      <c r="F5" s="223"/>
      <c r="G5" s="224"/>
      <c r="H5" s="225"/>
      <c r="I5" s="226"/>
      <c r="J5" s="225"/>
      <c r="K5" s="227"/>
      <c r="L5" s="227"/>
      <c r="M5" s="225"/>
      <c r="N5" s="228"/>
      <c r="O5" s="229"/>
      <c r="P5" s="229" t="s">
        <v>204</v>
      </c>
      <c r="Q5" s="229"/>
      <c r="R5" s="229"/>
      <c r="S5" s="229"/>
      <c r="T5" s="229"/>
      <c r="U5" s="229"/>
    </row>
    <row r="6" spans="1:21">
      <c r="A6" s="856" t="s">
        <v>148</v>
      </c>
      <c r="B6" s="856"/>
      <c r="C6" s="856" t="s">
        <v>144</v>
      </c>
      <c r="D6" s="856"/>
      <c r="E6" s="856"/>
      <c r="F6" s="857"/>
      <c r="G6" s="856"/>
      <c r="H6" s="867" t="s">
        <v>156</v>
      </c>
      <c r="I6" s="867" t="s">
        <v>157</v>
      </c>
      <c r="J6" s="864" t="s">
        <v>158</v>
      </c>
      <c r="K6" s="867" t="s">
        <v>145</v>
      </c>
      <c r="L6" s="867" t="s">
        <v>146</v>
      </c>
      <c r="M6" s="856" t="s">
        <v>159</v>
      </c>
      <c r="N6" s="856"/>
      <c r="O6" s="852" t="s">
        <v>165</v>
      </c>
      <c r="P6" s="852"/>
      <c r="Q6" s="852"/>
      <c r="R6" s="853"/>
      <c r="S6" s="231" t="s">
        <v>164</v>
      </c>
      <c r="T6" s="231"/>
      <c r="U6" s="861" t="s">
        <v>166</v>
      </c>
    </row>
    <row r="7" spans="1:21" ht="15" customHeight="1">
      <c r="A7" s="867" t="s">
        <v>149</v>
      </c>
      <c r="B7" s="864" t="s">
        <v>150</v>
      </c>
      <c r="C7" s="854" t="s">
        <v>151</v>
      </c>
      <c r="D7" s="854" t="s">
        <v>152</v>
      </c>
      <c r="E7" s="871" t="s">
        <v>153</v>
      </c>
      <c r="F7" s="873" t="s">
        <v>154</v>
      </c>
      <c r="G7" s="875" t="s">
        <v>155</v>
      </c>
      <c r="H7" s="867"/>
      <c r="I7" s="867"/>
      <c r="J7" s="865"/>
      <c r="K7" s="867"/>
      <c r="L7" s="867"/>
      <c r="M7" s="854" t="s">
        <v>160</v>
      </c>
      <c r="N7" s="854" t="s">
        <v>147</v>
      </c>
      <c r="O7" s="868" t="s">
        <v>161</v>
      </c>
      <c r="P7" s="869"/>
      <c r="Q7" s="868" t="s">
        <v>162</v>
      </c>
      <c r="R7" s="869"/>
      <c r="S7" s="854" t="s">
        <v>160</v>
      </c>
      <c r="T7" s="861" t="s">
        <v>147</v>
      </c>
      <c r="U7" s="862"/>
    </row>
    <row r="8" spans="1:21" ht="73.5" customHeight="1">
      <c r="A8" s="867"/>
      <c r="B8" s="866"/>
      <c r="C8" s="855"/>
      <c r="D8" s="855"/>
      <c r="E8" s="872"/>
      <c r="F8" s="874"/>
      <c r="G8" s="876"/>
      <c r="H8" s="867"/>
      <c r="I8" s="867"/>
      <c r="J8" s="866"/>
      <c r="K8" s="867"/>
      <c r="L8" s="867"/>
      <c r="M8" s="855"/>
      <c r="N8" s="855"/>
      <c r="O8" s="232" t="s">
        <v>163</v>
      </c>
      <c r="P8" s="232" t="s">
        <v>147</v>
      </c>
      <c r="Q8" s="233" t="s">
        <v>160</v>
      </c>
      <c r="R8" s="234" t="s">
        <v>147</v>
      </c>
      <c r="S8" s="855"/>
      <c r="T8" s="863"/>
      <c r="U8" s="863"/>
    </row>
    <row r="9" spans="1:21">
      <c r="A9" s="234">
        <v>1</v>
      </c>
      <c r="B9" s="234">
        <v>2</v>
      </c>
      <c r="C9" s="234">
        <v>3</v>
      </c>
      <c r="D9" s="234">
        <v>4</v>
      </c>
      <c r="E9" s="234">
        <v>5</v>
      </c>
      <c r="F9" s="234">
        <v>6</v>
      </c>
      <c r="G9" s="234">
        <v>7</v>
      </c>
      <c r="H9" s="234">
        <v>8</v>
      </c>
      <c r="I9" s="234">
        <v>9</v>
      </c>
      <c r="J9" s="234">
        <v>10</v>
      </c>
      <c r="K9" s="234">
        <v>11</v>
      </c>
      <c r="L9" s="234">
        <v>12</v>
      </c>
      <c r="M9" s="234">
        <v>13</v>
      </c>
      <c r="N9" s="234">
        <v>14</v>
      </c>
      <c r="O9" s="234">
        <v>15</v>
      </c>
      <c r="P9" s="234">
        <v>16</v>
      </c>
      <c r="Q9" s="234">
        <v>17</v>
      </c>
      <c r="R9" s="234">
        <v>18</v>
      </c>
      <c r="S9" s="234">
        <v>19</v>
      </c>
      <c r="T9" s="234">
        <v>20</v>
      </c>
      <c r="U9" s="234">
        <v>21</v>
      </c>
    </row>
    <row r="10" spans="1:21">
      <c r="A10" s="235">
        <v>1</v>
      </c>
      <c r="B10" s="235"/>
      <c r="C10" s="231"/>
      <c r="D10" s="236" t="s">
        <v>179</v>
      </c>
      <c r="E10" s="231" t="s">
        <v>184</v>
      </c>
      <c r="F10" s="231"/>
      <c r="G10" s="231" t="s">
        <v>184</v>
      </c>
      <c r="H10" s="242" t="s">
        <v>186</v>
      </c>
      <c r="I10" s="235">
        <v>2016</v>
      </c>
      <c r="J10" s="231"/>
      <c r="K10" s="231"/>
      <c r="L10" s="235" t="s">
        <v>187</v>
      </c>
      <c r="M10" s="235"/>
      <c r="N10" s="237"/>
      <c r="O10" s="235">
        <v>1</v>
      </c>
      <c r="P10" s="237">
        <v>3000000</v>
      </c>
      <c r="Q10" s="235"/>
      <c r="R10" s="237"/>
      <c r="S10" s="235">
        <v>1</v>
      </c>
      <c r="T10" s="237">
        <v>3000000</v>
      </c>
      <c r="U10" s="231"/>
    </row>
    <row r="11" spans="1:21">
      <c r="A11" s="235">
        <v>2</v>
      </c>
      <c r="B11" s="235"/>
      <c r="C11" s="231"/>
      <c r="D11" s="236" t="s">
        <v>167</v>
      </c>
      <c r="E11" s="231" t="s">
        <v>171</v>
      </c>
      <c r="F11" s="231"/>
      <c r="G11" s="231" t="s">
        <v>171</v>
      </c>
      <c r="H11" s="235" t="s">
        <v>186</v>
      </c>
      <c r="I11" s="235">
        <v>2016</v>
      </c>
      <c r="J11" s="231"/>
      <c r="K11" s="231"/>
      <c r="L11" s="235" t="s">
        <v>187</v>
      </c>
      <c r="M11" s="235"/>
      <c r="N11" s="237"/>
      <c r="O11" s="235">
        <v>6</v>
      </c>
      <c r="P11" s="237">
        <v>21000000</v>
      </c>
      <c r="Q11" s="235"/>
      <c r="R11" s="237"/>
      <c r="S11" s="235">
        <v>6</v>
      </c>
      <c r="T11" s="237">
        <v>21000000</v>
      </c>
      <c r="U11" s="231"/>
    </row>
    <row r="12" spans="1:21">
      <c r="A12" s="235">
        <v>3</v>
      </c>
      <c r="B12" s="235"/>
      <c r="C12" s="231"/>
      <c r="D12" s="236" t="s">
        <v>168</v>
      </c>
      <c r="E12" s="231" t="s">
        <v>172</v>
      </c>
      <c r="F12" s="231"/>
      <c r="G12" s="231" t="s">
        <v>172</v>
      </c>
      <c r="H12" s="235" t="s">
        <v>186</v>
      </c>
      <c r="I12" s="235">
        <v>2016</v>
      </c>
      <c r="J12" s="231"/>
      <c r="K12" s="231"/>
      <c r="L12" s="235" t="s">
        <v>187</v>
      </c>
      <c r="M12" s="235"/>
      <c r="N12" s="237"/>
      <c r="O12" s="235">
        <v>1</v>
      </c>
      <c r="P12" s="237">
        <v>4500000</v>
      </c>
      <c r="Q12" s="235"/>
      <c r="R12" s="237"/>
      <c r="S12" s="235">
        <v>1</v>
      </c>
      <c r="T12" s="237">
        <v>4500000</v>
      </c>
      <c r="U12" s="231"/>
    </row>
    <row r="13" spans="1:21">
      <c r="A13" s="235">
        <v>4</v>
      </c>
      <c r="B13" s="235"/>
      <c r="C13" s="231"/>
      <c r="D13" s="236" t="s">
        <v>169</v>
      </c>
      <c r="E13" s="231" t="s">
        <v>171</v>
      </c>
      <c r="F13" s="231"/>
      <c r="G13" s="231" t="s">
        <v>171</v>
      </c>
      <c r="H13" s="235" t="s">
        <v>186</v>
      </c>
      <c r="I13" s="235">
        <v>2016</v>
      </c>
      <c r="J13" s="231"/>
      <c r="K13" s="231"/>
      <c r="L13" s="235" t="s">
        <v>187</v>
      </c>
      <c r="M13" s="235"/>
      <c r="N13" s="237"/>
      <c r="O13" s="235">
        <v>2</v>
      </c>
      <c r="P13" s="237">
        <v>4000000</v>
      </c>
      <c r="Q13" s="235"/>
      <c r="R13" s="237"/>
      <c r="S13" s="235">
        <v>2</v>
      </c>
      <c r="T13" s="237">
        <v>4000000</v>
      </c>
      <c r="U13" s="231"/>
    </row>
    <row r="14" spans="1:21">
      <c r="A14" s="235">
        <v>5</v>
      </c>
      <c r="B14" s="235"/>
      <c r="C14" s="231"/>
      <c r="D14" s="236" t="s">
        <v>190</v>
      </c>
      <c r="E14" s="231" t="s">
        <v>183</v>
      </c>
      <c r="F14" s="231"/>
      <c r="G14" s="231" t="s">
        <v>183</v>
      </c>
      <c r="H14" s="235" t="s">
        <v>186</v>
      </c>
      <c r="I14" s="235">
        <v>2016</v>
      </c>
      <c r="J14" s="231"/>
      <c r="K14" s="231"/>
      <c r="L14" s="235" t="s">
        <v>187</v>
      </c>
      <c r="M14" s="235"/>
      <c r="N14" s="237"/>
      <c r="O14" s="235">
        <v>2</v>
      </c>
      <c r="P14" s="237">
        <v>2400000</v>
      </c>
      <c r="Q14" s="235"/>
      <c r="R14" s="237"/>
      <c r="S14" s="235">
        <v>2</v>
      </c>
      <c r="T14" s="237">
        <v>2400000</v>
      </c>
      <c r="U14" s="231"/>
    </row>
    <row r="15" spans="1:21">
      <c r="A15" s="235">
        <v>6</v>
      </c>
      <c r="B15" s="235"/>
      <c r="C15" s="231"/>
      <c r="D15" s="236" t="s">
        <v>170</v>
      </c>
      <c r="E15" s="231" t="s">
        <v>173</v>
      </c>
      <c r="F15" s="231"/>
      <c r="G15" s="231" t="s">
        <v>183</v>
      </c>
      <c r="H15" s="235" t="s">
        <v>186</v>
      </c>
      <c r="I15" s="235">
        <v>2016</v>
      </c>
      <c r="J15" s="231"/>
      <c r="K15" s="231"/>
      <c r="L15" s="235" t="s">
        <v>187</v>
      </c>
      <c r="M15" s="235"/>
      <c r="N15" s="237"/>
      <c r="O15" s="235">
        <v>1</v>
      </c>
      <c r="P15" s="237">
        <v>3885000</v>
      </c>
      <c r="Q15" s="235"/>
      <c r="R15" s="237"/>
      <c r="S15" s="235">
        <v>1</v>
      </c>
      <c r="T15" s="237">
        <v>3885000</v>
      </c>
      <c r="U15" s="231"/>
    </row>
    <row r="16" spans="1:21">
      <c r="A16" s="235">
        <v>7</v>
      </c>
      <c r="B16" s="235"/>
      <c r="C16" s="231"/>
      <c r="D16" s="236" t="s">
        <v>174</v>
      </c>
      <c r="E16" s="231" t="s">
        <v>175</v>
      </c>
      <c r="F16" s="231"/>
      <c r="G16" s="231" t="s">
        <v>184</v>
      </c>
      <c r="H16" s="235" t="s">
        <v>186</v>
      </c>
      <c r="I16" s="235">
        <v>2016</v>
      </c>
      <c r="J16" s="231"/>
      <c r="K16" s="231"/>
      <c r="L16" s="235" t="s">
        <v>187</v>
      </c>
      <c r="M16" s="235"/>
      <c r="N16" s="237"/>
      <c r="O16" s="235">
        <v>1</v>
      </c>
      <c r="P16" s="237">
        <v>8000000</v>
      </c>
      <c r="Q16" s="235"/>
      <c r="R16" s="237"/>
      <c r="S16" s="235">
        <v>1</v>
      </c>
      <c r="T16" s="237">
        <v>8000000</v>
      </c>
      <c r="U16" s="231"/>
    </row>
    <row r="17" spans="1:21">
      <c r="A17" s="235">
        <v>8</v>
      </c>
      <c r="B17" s="235"/>
      <c r="C17" s="231"/>
      <c r="D17" s="236" t="s">
        <v>177</v>
      </c>
      <c r="E17" s="231" t="s">
        <v>188</v>
      </c>
      <c r="F17" s="231"/>
      <c r="G17" s="231" t="s">
        <v>183</v>
      </c>
      <c r="H17" s="235" t="s">
        <v>186</v>
      </c>
      <c r="I17" s="235">
        <v>2016</v>
      </c>
      <c r="J17" s="231"/>
      <c r="K17" s="231"/>
      <c r="L17" s="235" t="s">
        <v>187</v>
      </c>
      <c r="M17" s="235"/>
      <c r="N17" s="237"/>
      <c r="O17" s="235">
        <v>3</v>
      </c>
      <c r="P17" s="237">
        <v>3000000</v>
      </c>
      <c r="Q17" s="235"/>
      <c r="R17" s="237"/>
      <c r="S17" s="235">
        <v>3</v>
      </c>
      <c r="T17" s="237">
        <v>3000000</v>
      </c>
      <c r="U17" s="231"/>
    </row>
    <row r="18" spans="1:21">
      <c r="A18" s="235">
        <v>9</v>
      </c>
      <c r="B18" s="235"/>
      <c r="C18" s="231"/>
      <c r="D18" s="236" t="s">
        <v>180</v>
      </c>
      <c r="E18" s="231" t="s">
        <v>178</v>
      </c>
      <c r="F18" s="231"/>
      <c r="G18" s="231" t="s">
        <v>183</v>
      </c>
      <c r="H18" s="235" t="s">
        <v>186</v>
      </c>
      <c r="I18" s="235">
        <v>2016</v>
      </c>
      <c r="J18" s="231"/>
      <c r="K18" s="231"/>
      <c r="L18" s="235" t="s">
        <v>187</v>
      </c>
      <c r="M18" s="235"/>
      <c r="N18" s="237"/>
      <c r="O18" s="235">
        <v>2</v>
      </c>
      <c r="P18" s="237">
        <v>4000000</v>
      </c>
      <c r="Q18" s="235"/>
      <c r="R18" s="237"/>
      <c r="S18" s="235">
        <v>2</v>
      </c>
      <c r="T18" s="237">
        <v>4000000</v>
      </c>
      <c r="U18" s="231"/>
    </row>
    <row r="19" spans="1:21">
      <c r="A19" s="235">
        <v>10</v>
      </c>
      <c r="B19" s="235"/>
      <c r="C19" s="231"/>
      <c r="D19" s="236" t="s">
        <v>181</v>
      </c>
      <c r="E19" s="231" t="s">
        <v>189</v>
      </c>
      <c r="F19" s="231"/>
      <c r="G19" s="231" t="s">
        <v>185</v>
      </c>
      <c r="H19" s="235" t="s">
        <v>186</v>
      </c>
      <c r="I19" s="235">
        <v>2016</v>
      </c>
      <c r="J19" s="231"/>
      <c r="K19" s="231"/>
      <c r="L19" s="235" t="s">
        <v>187</v>
      </c>
      <c r="M19" s="235"/>
      <c r="N19" s="237"/>
      <c r="O19" s="235">
        <v>1</v>
      </c>
      <c r="P19" s="237">
        <v>7000000</v>
      </c>
      <c r="Q19" s="235"/>
      <c r="R19" s="237"/>
      <c r="S19" s="235">
        <v>1</v>
      </c>
      <c r="T19" s="237">
        <v>7000000</v>
      </c>
      <c r="U19" s="231"/>
    </row>
    <row r="20" spans="1:21">
      <c r="A20" s="235">
        <v>11</v>
      </c>
      <c r="B20" s="235"/>
      <c r="C20" s="231"/>
      <c r="D20" s="236" t="s">
        <v>182</v>
      </c>
      <c r="E20" s="231"/>
      <c r="F20" s="231"/>
      <c r="G20" s="231" t="s">
        <v>183</v>
      </c>
      <c r="H20" s="235" t="s">
        <v>186</v>
      </c>
      <c r="I20" s="235">
        <v>2016</v>
      </c>
      <c r="J20" s="231"/>
      <c r="K20" s="231"/>
      <c r="L20" s="235" t="s">
        <v>187</v>
      </c>
      <c r="M20" s="235"/>
      <c r="N20" s="237"/>
      <c r="O20" s="235">
        <v>1</v>
      </c>
      <c r="P20" s="237">
        <v>1500000</v>
      </c>
      <c r="Q20" s="235"/>
      <c r="R20" s="237"/>
      <c r="S20" s="235">
        <v>1</v>
      </c>
      <c r="T20" s="237">
        <v>1500000</v>
      </c>
      <c r="U20" s="231"/>
    </row>
    <row r="21" spans="1:21">
      <c r="A21" s="235">
        <v>12</v>
      </c>
      <c r="B21" s="235"/>
      <c r="C21" s="231"/>
      <c r="D21" s="236" t="s">
        <v>191</v>
      </c>
      <c r="E21" s="231"/>
      <c r="F21" s="231"/>
      <c r="G21" s="231"/>
      <c r="H21" s="231"/>
      <c r="I21" s="231"/>
      <c r="J21" s="231"/>
      <c r="K21" s="231"/>
      <c r="L21" s="234" t="s">
        <v>187</v>
      </c>
      <c r="M21" s="234"/>
      <c r="N21" s="237"/>
      <c r="O21" s="234">
        <v>1</v>
      </c>
      <c r="P21" s="237">
        <v>10000000</v>
      </c>
      <c r="Q21" s="234"/>
      <c r="R21" s="237"/>
      <c r="S21" s="234">
        <v>1</v>
      </c>
      <c r="T21" s="237">
        <v>10000000</v>
      </c>
      <c r="U21" s="231"/>
    </row>
    <row r="22" spans="1:21" ht="69.75" customHeight="1">
      <c r="A22" s="234">
        <v>13</v>
      </c>
      <c r="B22" s="235"/>
      <c r="C22" s="231"/>
      <c r="D22" s="238" t="s">
        <v>192</v>
      </c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</row>
    <row r="23" spans="1:21">
      <c r="A23" s="239"/>
      <c r="B23" s="877" t="s">
        <v>193</v>
      </c>
      <c r="C23" s="878"/>
      <c r="D23" s="878"/>
      <c r="E23" s="878"/>
      <c r="F23" s="878"/>
      <c r="G23" s="878"/>
      <c r="H23" s="878"/>
      <c r="I23" s="878"/>
      <c r="J23" s="878"/>
      <c r="K23" s="878"/>
      <c r="L23" s="878"/>
      <c r="M23" s="878"/>
      <c r="N23" s="879"/>
      <c r="O23" s="239">
        <f>SUM(O10:O22)</f>
        <v>22</v>
      </c>
      <c r="P23" s="240">
        <f>SUM(P10:P22)</f>
        <v>72285000</v>
      </c>
      <c r="Q23" s="239"/>
      <c r="R23" s="239"/>
      <c r="S23" s="239">
        <f>SUM(S10:S22)</f>
        <v>22</v>
      </c>
      <c r="T23" s="240">
        <f>SUM(T10:T22)</f>
        <v>72285000</v>
      </c>
      <c r="U23" s="239"/>
    </row>
    <row r="24" spans="1:21">
      <c r="A24" s="229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</row>
    <row r="25" spans="1:21">
      <c r="A25" s="229"/>
      <c r="B25" s="229"/>
      <c r="C25" s="229"/>
      <c r="D25" s="229"/>
      <c r="E25" s="859" t="s">
        <v>197</v>
      </c>
      <c r="F25" s="85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859" t="s">
        <v>199</v>
      </c>
      <c r="R25" s="859"/>
      <c r="S25" s="859"/>
      <c r="T25" s="859"/>
      <c r="U25" s="229"/>
    </row>
    <row r="26" spans="1:21">
      <c r="A26" s="229"/>
      <c r="B26" s="229"/>
      <c r="C26" s="229"/>
      <c r="D26" s="229"/>
      <c r="E26" s="859" t="s">
        <v>86</v>
      </c>
      <c r="F26" s="85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859" t="s">
        <v>200</v>
      </c>
      <c r="R26" s="859"/>
      <c r="S26" s="859"/>
      <c r="T26" s="859"/>
      <c r="U26" s="229"/>
    </row>
    <row r="27" spans="1:2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</row>
    <row r="28" spans="1:21">
      <c r="A28" s="229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</row>
    <row r="29" spans="1:21">
      <c r="A29" s="229"/>
      <c r="B29" s="229"/>
      <c r="C29" s="229"/>
      <c r="D29" s="229"/>
      <c r="E29" s="858" t="s">
        <v>120</v>
      </c>
      <c r="F29" s="85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858" t="s">
        <v>201</v>
      </c>
      <c r="R29" s="859"/>
      <c r="S29" s="859"/>
      <c r="T29" s="859"/>
      <c r="U29" s="229"/>
    </row>
    <row r="30" spans="1:21">
      <c r="A30" s="227"/>
      <c r="B30" s="227"/>
      <c r="C30" s="227"/>
      <c r="D30" s="241"/>
      <c r="E30" s="241" t="s">
        <v>198</v>
      </c>
      <c r="F30" s="241"/>
      <c r="G30" s="241"/>
      <c r="H30" s="227"/>
      <c r="I30" s="227"/>
      <c r="J30" s="227"/>
      <c r="K30" s="227"/>
      <c r="L30" s="227"/>
      <c r="M30" s="227"/>
      <c r="N30" s="227"/>
      <c r="O30" s="227"/>
      <c r="P30" s="227"/>
      <c r="Q30" s="870" t="s">
        <v>202</v>
      </c>
      <c r="R30" s="870"/>
      <c r="S30" s="870"/>
      <c r="T30" s="870"/>
      <c r="U30" s="227"/>
    </row>
    <row r="31" spans="1:2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</sheetData>
  <mergeCells count="33">
    <mergeCell ref="B7:B8"/>
    <mergeCell ref="Q7:R7"/>
    <mergeCell ref="D7:D8"/>
    <mergeCell ref="A6:B6"/>
    <mergeCell ref="A7:A8"/>
    <mergeCell ref="Q30:T30"/>
    <mergeCell ref="E7:E8"/>
    <mergeCell ref="F7:F8"/>
    <mergeCell ref="G7:G8"/>
    <mergeCell ref="B23:N23"/>
    <mergeCell ref="H6:H8"/>
    <mergeCell ref="I6:I8"/>
    <mergeCell ref="E25:F25"/>
    <mergeCell ref="E26:F26"/>
    <mergeCell ref="E29:F29"/>
    <mergeCell ref="Q25:T25"/>
    <mergeCell ref="Q26:T26"/>
    <mergeCell ref="O6:R6"/>
    <mergeCell ref="C7:C8"/>
    <mergeCell ref="C6:G6"/>
    <mergeCell ref="Q29:T29"/>
    <mergeCell ref="A1:U1"/>
    <mergeCell ref="A2:U2"/>
    <mergeCell ref="U6:U8"/>
    <mergeCell ref="S7:S8"/>
    <mergeCell ref="T7:T8"/>
    <mergeCell ref="M7:M8"/>
    <mergeCell ref="N7:N8"/>
    <mergeCell ref="J6:J8"/>
    <mergeCell ref="K6:K8"/>
    <mergeCell ref="L6:L8"/>
    <mergeCell ref="M6:N6"/>
    <mergeCell ref="O7:P7"/>
  </mergeCells>
  <pageMargins left="0.15" right="0.11811023622047245" top="0.51181102362204722" bottom="0.15748031496062992" header="0.31496062992125984" footer="0.15748031496062992"/>
  <pageSetup paperSize="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1"/>
  <sheetViews>
    <sheetView workbookViewId="0">
      <selection activeCell="E85" sqref="E85"/>
    </sheetView>
  </sheetViews>
  <sheetFormatPr defaultRowHeight="15"/>
  <cols>
    <col min="1" max="1" width="6.140625" customWidth="1"/>
    <col min="2" max="2" width="6.42578125" customWidth="1"/>
    <col min="3" max="3" width="35" customWidth="1"/>
    <col min="4" max="4" width="17.42578125" customWidth="1"/>
    <col min="5" max="5" width="18.7109375" customWidth="1"/>
    <col min="6" max="6" width="12.7109375" customWidth="1"/>
    <col min="7" max="7" width="13" customWidth="1"/>
    <col min="8" max="8" width="12.5703125" bestFit="1" customWidth="1"/>
  </cols>
  <sheetData>
    <row r="1" spans="1:8" ht="15.75" thickTop="1">
      <c r="A1" s="833" t="s">
        <v>3</v>
      </c>
      <c r="B1" s="836" t="s">
        <v>4</v>
      </c>
      <c r="C1" s="837"/>
      <c r="D1" s="246" t="s">
        <v>5</v>
      </c>
      <c r="E1" s="257" t="s">
        <v>207</v>
      </c>
    </row>
    <row r="2" spans="1:8">
      <c r="A2" s="834"/>
      <c r="B2" s="838"/>
      <c r="C2" s="839"/>
      <c r="D2" s="247" t="s">
        <v>10</v>
      </c>
      <c r="E2" s="260" t="s">
        <v>10</v>
      </c>
    </row>
    <row r="3" spans="1:8">
      <c r="A3" s="835"/>
      <c r="B3" s="840"/>
      <c r="C3" s="841"/>
      <c r="D3" s="259" t="s">
        <v>18</v>
      </c>
      <c r="E3" s="258"/>
    </row>
    <row r="4" spans="1:8" ht="15.75" thickBot="1">
      <c r="A4" s="17">
        <v>1</v>
      </c>
      <c r="B4" s="828">
        <v>2</v>
      </c>
      <c r="C4" s="829"/>
      <c r="D4" s="18">
        <v>3</v>
      </c>
      <c r="E4" s="255"/>
    </row>
    <row r="5" spans="1:8" ht="15.75" thickBot="1">
      <c r="A5" s="35" t="s">
        <v>20</v>
      </c>
      <c r="B5" s="36" t="s">
        <v>21</v>
      </c>
      <c r="C5" s="37"/>
      <c r="D5" s="30">
        <f>D6+D7</f>
        <v>2018105000</v>
      </c>
      <c r="E5" s="30">
        <f>E6+E7</f>
        <v>379720000</v>
      </c>
      <c r="H5" s="161">
        <v>379720787</v>
      </c>
    </row>
    <row r="6" spans="1:8" ht="15.75" thickBot="1">
      <c r="A6" s="38" t="s">
        <v>22</v>
      </c>
      <c r="B6" s="39" t="s">
        <v>23</v>
      </c>
      <c r="C6" s="40"/>
      <c r="D6" s="31">
        <v>1825625000</v>
      </c>
      <c r="E6" s="114">
        <v>367510000</v>
      </c>
      <c r="H6" s="161">
        <v>12210000</v>
      </c>
    </row>
    <row r="7" spans="1:8" ht="15.75" thickBot="1">
      <c r="A7" s="139"/>
      <c r="B7" s="140" t="s">
        <v>107</v>
      </c>
      <c r="C7" s="141"/>
      <c r="D7" s="31">
        <v>192480000</v>
      </c>
      <c r="E7" s="114">
        <v>12210000</v>
      </c>
      <c r="H7" s="178">
        <f>H5-H6</f>
        <v>367510787</v>
      </c>
    </row>
    <row r="8" spans="1:8" ht="15.75" thickBot="1">
      <c r="A8" s="35" t="s">
        <v>24</v>
      </c>
      <c r="B8" s="36" t="s">
        <v>25</v>
      </c>
      <c r="C8" s="37"/>
      <c r="D8" s="30">
        <f>D25+D37+D40+D44+D48+D51+D57+D60+D64+D67+D71+D74+D77+D80+D83+D87+D90+D92+D95+D100+D105+D108+D114+D117+D120</f>
        <v>836623000</v>
      </c>
      <c r="E8" s="30">
        <f>E25+E37+E40+E48+E57+E74+E77+E80+E83+E87+E92+E95+E114+E120</f>
        <v>313856317</v>
      </c>
    </row>
    <row r="9" spans="1:8">
      <c r="A9" s="41" t="s">
        <v>26</v>
      </c>
      <c r="B9" s="42" t="s">
        <v>27</v>
      </c>
      <c r="C9" s="43"/>
      <c r="D9" s="32"/>
      <c r="E9" s="115"/>
    </row>
    <row r="10" spans="1:8" ht="24.75" customHeight="1">
      <c r="A10" s="44"/>
      <c r="B10" s="45" t="s">
        <v>26</v>
      </c>
      <c r="C10" s="46" t="s">
        <v>28</v>
      </c>
      <c r="D10" s="33">
        <v>6000000</v>
      </c>
      <c r="E10" s="272">
        <v>500000</v>
      </c>
    </row>
    <row r="11" spans="1:8" ht="24.75" customHeight="1">
      <c r="A11" s="44"/>
      <c r="B11" s="47" t="s">
        <v>29</v>
      </c>
      <c r="C11" s="48" t="s">
        <v>30</v>
      </c>
      <c r="D11" s="34">
        <v>8000000</v>
      </c>
      <c r="E11" s="273">
        <v>5133855</v>
      </c>
    </row>
    <row r="12" spans="1:8" ht="24.75" customHeight="1">
      <c r="A12" s="44"/>
      <c r="B12" s="47" t="s">
        <v>29</v>
      </c>
      <c r="C12" s="48" t="s">
        <v>31</v>
      </c>
      <c r="D12" s="34">
        <v>5000000</v>
      </c>
      <c r="E12" s="273">
        <v>3073900</v>
      </c>
    </row>
    <row r="13" spans="1:8" ht="24.75" customHeight="1">
      <c r="A13" s="44"/>
      <c r="B13" s="47" t="s">
        <v>29</v>
      </c>
      <c r="C13" s="48" t="s">
        <v>32</v>
      </c>
      <c r="D13" s="34">
        <v>12000000</v>
      </c>
      <c r="E13" s="273">
        <v>6690112</v>
      </c>
    </row>
    <row r="14" spans="1:8" ht="24.75" customHeight="1">
      <c r="A14" s="44"/>
      <c r="B14" s="47" t="s">
        <v>33</v>
      </c>
      <c r="C14" s="48" t="s">
        <v>34</v>
      </c>
      <c r="D14" s="34">
        <v>9600000</v>
      </c>
      <c r="E14" s="273">
        <v>1600000</v>
      </c>
    </row>
    <row r="15" spans="1:8" ht="24.75" customHeight="1">
      <c r="A15" s="44"/>
      <c r="B15" s="47">
        <v>10</v>
      </c>
      <c r="C15" s="48" t="s">
        <v>35</v>
      </c>
      <c r="D15" s="34">
        <v>12000000</v>
      </c>
      <c r="E15" s="273">
        <v>1600000</v>
      </c>
    </row>
    <row r="16" spans="1:8" ht="24.75" customHeight="1">
      <c r="A16" s="44"/>
      <c r="B16" s="47">
        <v>11</v>
      </c>
      <c r="C16" s="48" t="s">
        <v>36</v>
      </c>
      <c r="D16" s="34">
        <v>6000000</v>
      </c>
      <c r="E16" s="273">
        <v>700000</v>
      </c>
    </row>
    <row r="17" spans="1:5" ht="24.75" customHeight="1">
      <c r="A17" s="44"/>
      <c r="B17" s="47">
        <v>11</v>
      </c>
      <c r="C17" s="48" t="s">
        <v>37</v>
      </c>
      <c r="D17" s="34">
        <v>18000000</v>
      </c>
      <c r="E17" s="273">
        <v>3041800</v>
      </c>
    </row>
    <row r="18" spans="1:5" ht="24.75" customHeight="1">
      <c r="A18" s="44"/>
      <c r="B18" s="47">
        <v>12</v>
      </c>
      <c r="C18" s="48" t="s">
        <v>38</v>
      </c>
      <c r="D18" s="34">
        <v>5000000</v>
      </c>
      <c r="E18" s="273">
        <v>648000</v>
      </c>
    </row>
    <row r="19" spans="1:5" ht="24.75" customHeight="1">
      <c r="A19" s="44"/>
      <c r="B19" s="47">
        <v>13</v>
      </c>
      <c r="C19" s="48" t="s">
        <v>39</v>
      </c>
      <c r="D19" s="34">
        <v>3000000</v>
      </c>
      <c r="E19" s="273">
        <v>0</v>
      </c>
    </row>
    <row r="20" spans="1:5" ht="24.75" customHeight="1">
      <c r="A20" s="44"/>
      <c r="B20" s="47">
        <v>15</v>
      </c>
      <c r="C20" s="48" t="s">
        <v>40</v>
      </c>
      <c r="D20" s="34">
        <v>1200000</v>
      </c>
      <c r="E20" s="273">
        <v>240000</v>
      </c>
    </row>
    <row r="21" spans="1:5" ht="24.75" customHeight="1">
      <c r="A21" s="44"/>
      <c r="B21" s="47">
        <v>17</v>
      </c>
      <c r="C21" s="48" t="s">
        <v>41</v>
      </c>
      <c r="D21" s="34">
        <v>5000000</v>
      </c>
      <c r="E21" s="273">
        <v>748000</v>
      </c>
    </row>
    <row r="22" spans="1:5" ht="24.75" customHeight="1">
      <c r="A22" s="44"/>
      <c r="B22" s="47">
        <v>17</v>
      </c>
      <c r="C22" s="48" t="s">
        <v>42</v>
      </c>
      <c r="D22" s="34">
        <v>7000000</v>
      </c>
      <c r="E22" s="273">
        <f>1280000-820000</f>
        <v>460000</v>
      </c>
    </row>
    <row r="23" spans="1:5" ht="24.75" customHeight="1">
      <c r="A23" s="44"/>
      <c r="B23" s="47">
        <v>18</v>
      </c>
      <c r="C23" s="48" t="s">
        <v>135</v>
      </c>
      <c r="D23" s="34">
        <f>12000000+4115000</f>
        <v>16115000</v>
      </c>
      <c r="E23" s="273">
        <v>6065000</v>
      </c>
    </row>
    <row r="24" spans="1:5" ht="24.75" customHeight="1" thickBot="1">
      <c r="A24" s="44"/>
      <c r="B24" s="49">
        <v>19</v>
      </c>
      <c r="C24" s="50" t="s">
        <v>44</v>
      </c>
      <c r="D24" s="51">
        <v>35000000</v>
      </c>
      <c r="E24" s="274">
        <f>5847000-2947000</f>
        <v>2900000</v>
      </c>
    </row>
    <row r="25" spans="1:5" ht="24.75" customHeight="1" thickBot="1">
      <c r="A25" s="35"/>
      <c r="B25" s="52"/>
      <c r="C25" s="37" t="s">
        <v>45</v>
      </c>
      <c r="D25" s="53">
        <f>SUM(D10:D24)</f>
        <v>148915000</v>
      </c>
      <c r="E25" s="53">
        <f>SUM(E10:E24)</f>
        <v>33400667</v>
      </c>
    </row>
    <row r="26" spans="1:5" ht="24.75" customHeight="1">
      <c r="A26" s="54" t="s">
        <v>29</v>
      </c>
      <c r="B26" s="55" t="s">
        <v>90</v>
      </c>
      <c r="C26" s="56"/>
      <c r="D26" s="57"/>
      <c r="E26" s="119"/>
    </row>
    <row r="27" spans="1:5" ht="24.75" customHeight="1">
      <c r="A27" s="44"/>
      <c r="B27" s="47" t="s">
        <v>33</v>
      </c>
      <c r="C27" s="58" t="s">
        <v>109</v>
      </c>
      <c r="D27" s="59">
        <f>16500000+37385000</f>
        <v>53885000</v>
      </c>
      <c r="E27" s="261">
        <v>0</v>
      </c>
    </row>
    <row r="28" spans="1:5" ht="24.75" customHeight="1">
      <c r="A28" s="44"/>
      <c r="B28" s="47" t="s">
        <v>46</v>
      </c>
      <c r="C28" s="58" t="s">
        <v>110</v>
      </c>
      <c r="D28" s="59">
        <f>15000000+2000000</f>
        <v>17000000</v>
      </c>
      <c r="E28" s="261">
        <v>2000000</v>
      </c>
    </row>
    <row r="29" spans="1:5" ht="24.75" customHeight="1">
      <c r="A29" s="44"/>
      <c r="B29" s="47" t="s">
        <v>111</v>
      </c>
      <c r="C29" s="58" t="s">
        <v>112</v>
      </c>
      <c r="D29" s="59">
        <v>23500000</v>
      </c>
      <c r="E29" s="261">
        <v>100000</v>
      </c>
    </row>
    <row r="30" spans="1:5" ht="24.75" customHeight="1">
      <c r="A30" s="44"/>
      <c r="B30" s="47" t="s">
        <v>113</v>
      </c>
      <c r="C30" s="58" t="s">
        <v>114</v>
      </c>
      <c r="D30" s="59">
        <v>10000000</v>
      </c>
      <c r="E30" s="261">
        <v>0</v>
      </c>
    </row>
    <row r="31" spans="1:5" ht="24.75" customHeight="1">
      <c r="A31" s="44"/>
      <c r="B31" s="47">
        <v>21</v>
      </c>
      <c r="C31" s="48" t="s">
        <v>47</v>
      </c>
      <c r="D31" s="59">
        <v>30000000</v>
      </c>
      <c r="E31" s="261">
        <v>0</v>
      </c>
    </row>
    <row r="32" spans="1:5" ht="24.75" customHeight="1">
      <c r="A32" s="44"/>
      <c r="B32" s="47">
        <v>22</v>
      </c>
      <c r="C32" s="48" t="s">
        <v>48</v>
      </c>
      <c r="D32" s="60">
        <f>30000000+20000000</f>
        <v>50000000</v>
      </c>
      <c r="E32" s="261">
        <v>20000000</v>
      </c>
    </row>
    <row r="33" spans="1:5" ht="24.75" customHeight="1">
      <c r="A33" s="44"/>
      <c r="B33" s="47">
        <v>24</v>
      </c>
      <c r="C33" s="48" t="s">
        <v>49</v>
      </c>
      <c r="D33" s="60">
        <f>30000000+10973000</f>
        <v>40973000</v>
      </c>
      <c r="E33" s="261">
        <v>18406250</v>
      </c>
    </row>
    <row r="34" spans="1:5" ht="24.75" customHeight="1">
      <c r="A34" s="44"/>
      <c r="B34" s="47">
        <v>26</v>
      </c>
      <c r="C34" s="48" t="s">
        <v>50</v>
      </c>
      <c r="D34" s="60">
        <v>3500000</v>
      </c>
      <c r="E34" s="261">
        <v>4000</v>
      </c>
    </row>
    <row r="35" spans="1:5" ht="24.75" customHeight="1">
      <c r="A35" s="44"/>
      <c r="B35" s="47">
        <v>28</v>
      </c>
      <c r="C35" s="48" t="s">
        <v>51</v>
      </c>
      <c r="D35" s="60">
        <v>12000000</v>
      </c>
      <c r="E35" s="261">
        <v>4300000</v>
      </c>
    </row>
    <row r="36" spans="1:5" ht="24.75" customHeight="1">
      <c r="A36" s="44"/>
      <c r="B36" s="61">
        <v>29</v>
      </c>
      <c r="C36" s="50" t="s">
        <v>52</v>
      </c>
      <c r="D36" s="62">
        <v>1650000</v>
      </c>
      <c r="E36" s="262">
        <v>420000</v>
      </c>
    </row>
    <row r="37" spans="1:5" ht="24.75" customHeight="1">
      <c r="A37" s="63"/>
      <c r="B37" s="64"/>
      <c r="C37" s="65" t="s">
        <v>45</v>
      </c>
      <c r="D37" s="66">
        <f>SUM(D27:D36)</f>
        <v>242508000</v>
      </c>
      <c r="E37" s="122">
        <f>SUM(E27:E36)</f>
        <v>45230250</v>
      </c>
    </row>
    <row r="38" spans="1:5" ht="24.75" customHeight="1">
      <c r="A38" s="67" t="s">
        <v>53</v>
      </c>
      <c r="B38" s="68" t="s">
        <v>54</v>
      </c>
      <c r="C38" s="69"/>
      <c r="D38" s="70"/>
      <c r="E38" s="123"/>
    </row>
    <row r="39" spans="1:5" ht="24.75" customHeight="1">
      <c r="A39" s="44"/>
      <c r="B39" s="47" t="s">
        <v>26</v>
      </c>
      <c r="C39" s="48" t="s">
        <v>55</v>
      </c>
      <c r="D39" s="60">
        <f>15000000+25000000</f>
        <v>40000000</v>
      </c>
      <c r="E39" s="261">
        <v>40000000</v>
      </c>
    </row>
    <row r="40" spans="1:5" ht="24.75" customHeight="1">
      <c r="A40" s="63"/>
      <c r="B40" s="71"/>
      <c r="C40" s="65" t="s">
        <v>45</v>
      </c>
      <c r="D40" s="66">
        <f>SUM(D39:D39)</f>
        <v>40000000</v>
      </c>
      <c r="E40" s="122">
        <f>SUM(E39:E39)</f>
        <v>40000000</v>
      </c>
    </row>
    <row r="41" spans="1:5" ht="24.75" customHeight="1">
      <c r="A41" s="44">
        <v>15</v>
      </c>
      <c r="B41" s="72" t="s">
        <v>61</v>
      </c>
      <c r="C41" s="73"/>
      <c r="D41" s="57"/>
      <c r="E41" s="119"/>
    </row>
    <row r="42" spans="1:5" ht="24.75" customHeight="1">
      <c r="A42" s="44"/>
      <c r="B42" s="47">
        <v>18</v>
      </c>
      <c r="C42" s="48" t="s">
        <v>62</v>
      </c>
      <c r="D42" s="60">
        <v>5000000</v>
      </c>
      <c r="E42" s="261">
        <v>0</v>
      </c>
    </row>
    <row r="43" spans="1:5" ht="24.75" customHeight="1">
      <c r="A43" s="44"/>
      <c r="B43" s="243">
        <v>63</v>
      </c>
      <c r="C43" s="244" t="s">
        <v>63</v>
      </c>
      <c r="D43" s="62">
        <v>5000000</v>
      </c>
      <c r="E43" s="262">
        <v>0</v>
      </c>
    </row>
    <row r="44" spans="1:5" ht="24.75" customHeight="1">
      <c r="A44" s="63"/>
      <c r="B44" s="64"/>
      <c r="C44" s="65" t="s">
        <v>45</v>
      </c>
      <c r="D44" s="66">
        <f>SUM(D42:D43)</f>
        <v>10000000</v>
      </c>
      <c r="E44" s="122">
        <f t="shared" ref="E44" si="0">SUM(E42:E43)</f>
        <v>0</v>
      </c>
    </row>
    <row r="45" spans="1:5" ht="24.75" customHeight="1">
      <c r="A45" s="44">
        <v>30</v>
      </c>
      <c r="B45" s="77" t="s">
        <v>64</v>
      </c>
      <c r="C45" s="78"/>
      <c r="D45" s="57"/>
      <c r="E45" s="119"/>
    </row>
    <row r="46" spans="1:5" ht="24.75" customHeight="1">
      <c r="A46" s="44"/>
      <c r="B46" s="45">
        <v>2</v>
      </c>
      <c r="C46" s="79" t="s">
        <v>102</v>
      </c>
      <c r="D46" s="80">
        <v>130000000</v>
      </c>
      <c r="E46" s="263">
        <v>130000000</v>
      </c>
    </row>
    <row r="47" spans="1:5" ht="24.75" customHeight="1">
      <c r="A47" s="44"/>
      <c r="B47" s="163">
        <v>6</v>
      </c>
      <c r="C47" s="203" t="s">
        <v>115</v>
      </c>
      <c r="D47" s="179">
        <v>3300000</v>
      </c>
      <c r="E47" s="164">
        <v>0</v>
      </c>
    </row>
    <row r="48" spans="1:5" ht="24.75" customHeight="1">
      <c r="A48" s="63"/>
      <c r="B48" s="64"/>
      <c r="C48" s="65" t="s">
        <v>45</v>
      </c>
      <c r="D48" s="66">
        <f>SUM(D45:D47)</f>
        <v>133300000</v>
      </c>
      <c r="E48" s="66">
        <f>SUM(E45:E47)</f>
        <v>130000000</v>
      </c>
    </row>
    <row r="49" spans="1:5" ht="24.75" customHeight="1">
      <c r="A49" s="44">
        <v>21</v>
      </c>
      <c r="B49" s="81" t="s">
        <v>65</v>
      </c>
      <c r="C49" s="82"/>
      <c r="D49" s="57"/>
      <c r="E49" s="119"/>
    </row>
    <row r="50" spans="1:5" ht="24.75" customHeight="1">
      <c r="A50" s="44"/>
      <c r="B50" s="47" t="s">
        <v>46</v>
      </c>
      <c r="C50" s="48" t="s">
        <v>66</v>
      </c>
      <c r="D50" s="60">
        <v>10000000</v>
      </c>
      <c r="E50" s="264">
        <v>0</v>
      </c>
    </row>
    <row r="51" spans="1:5" ht="24.75" customHeight="1">
      <c r="A51" s="63"/>
      <c r="B51" s="83"/>
      <c r="C51" s="65" t="s">
        <v>45</v>
      </c>
      <c r="D51" s="66">
        <f>SUM(D50:D50)</f>
        <v>10000000</v>
      </c>
      <c r="E51" s="66"/>
    </row>
    <row r="52" spans="1:5" ht="24.75" customHeight="1">
      <c r="A52" s="84">
        <v>18</v>
      </c>
      <c r="B52" s="826" t="s">
        <v>96</v>
      </c>
      <c r="C52" s="827"/>
      <c r="D52" s="57"/>
      <c r="E52" s="119"/>
    </row>
    <row r="53" spans="1:5" ht="24.75" customHeight="1">
      <c r="A53" s="84"/>
      <c r="B53" s="830" t="s">
        <v>95</v>
      </c>
      <c r="C53" s="831"/>
      <c r="D53" s="57"/>
      <c r="E53" s="119"/>
    </row>
    <row r="54" spans="1:5" ht="24.75" customHeight="1">
      <c r="A54" s="44"/>
      <c r="B54" s="47" t="s">
        <v>26</v>
      </c>
      <c r="C54" s="48" t="s">
        <v>67</v>
      </c>
      <c r="D54" s="60">
        <f>20000000+5000000</f>
        <v>25000000</v>
      </c>
      <c r="E54" s="265">
        <v>25000000</v>
      </c>
    </row>
    <row r="55" spans="1:5" ht="24.75" customHeight="1">
      <c r="A55" s="44"/>
      <c r="B55" s="47" t="s">
        <v>29</v>
      </c>
      <c r="C55" s="204" t="s">
        <v>116</v>
      </c>
      <c r="D55" s="179">
        <v>-14000000</v>
      </c>
      <c r="E55" s="266"/>
    </row>
    <row r="56" spans="1:5" ht="24.75" customHeight="1">
      <c r="A56" s="44"/>
      <c r="B56" s="47"/>
      <c r="C56" s="48" t="s">
        <v>117</v>
      </c>
      <c r="D56" s="60"/>
      <c r="E56" s="256"/>
    </row>
    <row r="57" spans="1:5" ht="24.75" customHeight="1">
      <c r="A57" s="63"/>
      <c r="B57" s="71"/>
      <c r="C57" s="65" t="s">
        <v>45</v>
      </c>
      <c r="D57" s="66">
        <f>D54</f>
        <v>25000000</v>
      </c>
      <c r="E57" s="66">
        <f t="shared" ref="E57" si="1">SUM(E54:E54)</f>
        <v>25000000</v>
      </c>
    </row>
    <row r="58" spans="1:5" ht="24.75" customHeight="1">
      <c r="A58" s="84">
        <v>17</v>
      </c>
      <c r="B58" s="826" t="s">
        <v>130</v>
      </c>
      <c r="C58" s="827"/>
      <c r="D58" s="57"/>
      <c r="E58" s="119"/>
    </row>
    <row r="59" spans="1:5" ht="24.75" customHeight="1">
      <c r="A59" s="44"/>
      <c r="B59" s="47" t="s">
        <v>53</v>
      </c>
      <c r="C59" s="48" t="s">
        <v>131</v>
      </c>
      <c r="D59" s="60">
        <f>24000000-6500000</f>
        <v>17500000</v>
      </c>
      <c r="E59" s="264">
        <v>0</v>
      </c>
    </row>
    <row r="60" spans="1:5" ht="24.75" customHeight="1">
      <c r="A60" s="63"/>
      <c r="B60" s="64"/>
      <c r="C60" s="65" t="s">
        <v>45</v>
      </c>
      <c r="D60" s="66">
        <f>SUM(D59:D59)</f>
        <v>17500000</v>
      </c>
      <c r="E60" s="66">
        <f t="shared" ref="E60" si="2">SUM(E58:E59)</f>
        <v>0</v>
      </c>
    </row>
    <row r="61" spans="1:5" ht="24.75" customHeight="1">
      <c r="A61" s="44">
        <v>15</v>
      </c>
      <c r="B61" s="253" t="s">
        <v>68</v>
      </c>
      <c r="C61" s="86"/>
      <c r="D61" s="57"/>
      <c r="E61" s="119"/>
    </row>
    <row r="62" spans="1:5" ht="24.75" customHeight="1">
      <c r="A62" s="44"/>
      <c r="B62" s="49" t="s">
        <v>80</v>
      </c>
      <c r="C62" s="50" t="s">
        <v>118</v>
      </c>
      <c r="D62" s="62">
        <v>5000000</v>
      </c>
      <c r="E62" s="264">
        <v>0</v>
      </c>
    </row>
    <row r="63" spans="1:5" ht="24.75" customHeight="1">
      <c r="A63" s="44"/>
      <c r="B63" s="49" t="s">
        <v>69</v>
      </c>
      <c r="C63" s="50" t="s">
        <v>70</v>
      </c>
      <c r="D63" s="62">
        <v>60000000</v>
      </c>
      <c r="E63" s="264">
        <v>0</v>
      </c>
    </row>
    <row r="64" spans="1:5" ht="24.75" customHeight="1">
      <c r="A64" s="63"/>
      <c r="B64" s="64"/>
      <c r="C64" s="65" t="s">
        <v>45</v>
      </c>
      <c r="D64" s="66">
        <f>SUM(D62:D63)</f>
        <v>65000000</v>
      </c>
      <c r="E64" s="66">
        <f>SUM(E60:E63)</f>
        <v>0</v>
      </c>
    </row>
    <row r="65" spans="1:5" ht="24.75" customHeight="1">
      <c r="A65" s="44">
        <v>16</v>
      </c>
      <c r="B65" s="81" t="s">
        <v>71</v>
      </c>
      <c r="C65" s="82"/>
      <c r="D65" s="57"/>
      <c r="E65" s="119"/>
    </row>
    <row r="66" spans="1:5" ht="24.75" customHeight="1">
      <c r="A66" s="44"/>
      <c r="B66" s="47" t="s">
        <v>72</v>
      </c>
      <c r="C66" s="48" t="s">
        <v>73</v>
      </c>
      <c r="D66" s="60">
        <v>5000000</v>
      </c>
      <c r="E66" s="261">
        <v>0</v>
      </c>
    </row>
    <row r="67" spans="1:5" ht="24.75" customHeight="1">
      <c r="A67" s="63"/>
      <c r="B67" s="83"/>
      <c r="C67" s="65" t="s">
        <v>45</v>
      </c>
      <c r="D67" s="66">
        <f>SUM(D66:D66)</f>
        <v>5000000</v>
      </c>
      <c r="E67" s="122">
        <f>SUM(E66:E66)</f>
        <v>0</v>
      </c>
    </row>
    <row r="68" spans="1:5" ht="24.75" customHeight="1">
      <c r="A68" s="87" t="s">
        <v>69</v>
      </c>
      <c r="B68" s="826" t="s">
        <v>89</v>
      </c>
      <c r="C68" s="827"/>
      <c r="D68" s="70"/>
      <c r="E68" s="123"/>
    </row>
    <row r="69" spans="1:5" ht="24.75" customHeight="1">
      <c r="A69" s="88"/>
      <c r="B69" s="830" t="s">
        <v>88</v>
      </c>
      <c r="C69" s="831"/>
      <c r="D69" s="57"/>
      <c r="E69" s="119"/>
    </row>
    <row r="70" spans="1:5" ht="24.75" customHeight="1">
      <c r="A70" s="89"/>
      <c r="B70" s="61" t="s">
        <v>26</v>
      </c>
      <c r="C70" s="90" t="s">
        <v>74</v>
      </c>
      <c r="D70" s="91">
        <v>10000000</v>
      </c>
      <c r="E70" s="267">
        <v>0</v>
      </c>
    </row>
    <row r="71" spans="1:5" ht="24.75" customHeight="1">
      <c r="A71" s="63"/>
      <c r="B71" s="83"/>
      <c r="C71" s="65" t="s">
        <v>45</v>
      </c>
      <c r="D71" s="66">
        <f>SUM(D70:D70)</f>
        <v>10000000</v>
      </c>
      <c r="E71" s="122">
        <f>SUM(E70:E70)</f>
        <v>0</v>
      </c>
    </row>
    <row r="72" spans="1:5" ht="24.75" customHeight="1">
      <c r="A72" s="88"/>
      <c r="B72" s="826" t="s">
        <v>94</v>
      </c>
      <c r="C72" s="827"/>
      <c r="D72" s="57"/>
      <c r="E72" s="119"/>
    </row>
    <row r="73" spans="1:5" ht="24.75" customHeight="1">
      <c r="A73" s="84"/>
      <c r="B73" s="92" t="s">
        <v>26</v>
      </c>
      <c r="C73" s="48" t="s">
        <v>134</v>
      </c>
      <c r="D73" s="60">
        <f>3000000+7000000</f>
        <v>10000000</v>
      </c>
      <c r="E73" s="256">
        <v>0</v>
      </c>
    </row>
    <row r="74" spans="1:5" ht="24.75" customHeight="1">
      <c r="A74" s="93"/>
      <c r="B74" s="64"/>
      <c r="C74" s="65" t="s">
        <v>45</v>
      </c>
      <c r="D74" s="66">
        <f>SUM(D73:D73)</f>
        <v>10000000</v>
      </c>
      <c r="E74" s="66">
        <f>E73</f>
        <v>0</v>
      </c>
    </row>
    <row r="75" spans="1:5" ht="24.75" customHeight="1">
      <c r="A75" s="87">
        <v>15</v>
      </c>
      <c r="B75" s="826" t="s">
        <v>75</v>
      </c>
      <c r="C75" s="827"/>
      <c r="D75" s="70"/>
      <c r="E75" s="123"/>
    </row>
    <row r="76" spans="1:5" ht="24.75" customHeight="1">
      <c r="A76" s="89"/>
      <c r="B76" s="92" t="s">
        <v>53</v>
      </c>
      <c r="C76" s="48" t="s">
        <v>119</v>
      </c>
      <c r="D76" s="91">
        <v>10000000</v>
      </c>
      <c r="E76" s="268">
        <v>2500000</v>
      </c>
    </row>
    <row r="77" spans="1:5" ht="24.75" customHeight="1">
      <c r="A77" s="93"/>
      <c r="B77" s="64"/>
      <c r="C77" s="65" t="s">
        <v>45</v>
      </c>
      <c r="D77" s="66">
        <f>SUM(D76:D76)</f>
        <v>10000000</v>
      </c>
      <c r="E77" s="66">
        <f>E76</f>
        <v>2500000</v>
      </c>
    </row>
    <row r="78" spans="1:5" ht="24.75" customHeight="1">
      <c r="A78" s="84">
        <v>16</v>
      </c>
      <c r="B78" s="826" t="s">
        <v>75</v>
      </c>
      <c r="C78" s="827"/>
      <c r="D78" s="57"/>
      <c r="E78" s="119"/>
    </row>
    <row r="79" spans="1:5" ht="24.75" customHeight="1">
      <c r="A79" s="84"/>
      <c r="B79" s="94" t="s">
        <v>72</v>
      </c>
      <c r="C79" s="95" t="s">
        <v>103</v>
      </c>
      <c r="D79" s="57">
        <v>10000000</v>
      </c>
      <c r="E79" s="119">
        <v>2500000</v>
      </c>
    </row>
    <row r="80" spans="1:5" ht="24.75" customHeight="1">
      <c r="A80" s="93"/>
      <c r="B80" s="83"/>
      <c r="C80" s="65" t="s">
        <v>45</v>
      </c>
      <c r="D80" s="66">
        <f>SUM(D79)</f>
        <v>10000000</v>
      </c>
      <c r="E80" s="66">
        <f t="shared" ref="E80" si="3">SUM(E78:E79)</f>
        <v>2500000</v>
      </c>
    </row>
    <row r="81" spans="1:5" ht="24.75" customHeight="1">
      <c r="A81" s="84">
        <v>22</v>
      </c>
      <c r="B81" s="826" t="s">
        <v>87</v>
      </c>
      <c r="C81" s="827"/>
      <c r="D81" s="57"/>
      <c r="E81" s="119"/>
    </row>
    <row r="82" spans="1:5" ht="24.75" customHeight="1">
      <c r="A82" s="84"/>
      <c r="B82" s="47" t="s">
        <v>26</v>
      </c>
      <c r="C82" s="95" t="s">
        <v>76</v>
      </c>
      <c r="D82" s="60">
        <v>3500000</v>
      </c>
      <c r="E82" s="256">
        <v>875000</v>
      </c>
    </row>
    <row r="83" spans="1:5" ht="24.75" customHeight="1">
      <c r="A83" s="63"/>
      <c r="B83" s="83"/>
      <c r="C83" s="65" t="s">
        <v>45</v>
      </c>
      <c r="D83" s="66">
        <f>SUM(D82:D82)</f>
        <v>3500000</v>
      </c>
      <c r="E83" s="66">
        <f>E82</f>
        <v>875000</v>
      </c>
    </row>
    <row r="84" spans="1:5" ht="24.75" customHeight="1">
      <c r="A84" s="44">
        <v>17</v>
      </c>
      <c r="B84" s="822" t="s">
        <v>56</v>
      </c>
      <c r="C84" s="823"/>
      <c r="D84" s="57"/>
      <c r="E84" s="119"/>
    </row>
    <row r="85" spans="1:5" ht="24" customHeight="1">
      <c r="A85" s="44"/>
      <c r="B85" s="47">
        <v>19</v>
      </c>
      <c r="C85" s="48" t="s">
        <v>91</v>
      </c>
      <c r="D85" s="275">
        <v>25000000</v>
      </c>
      <c r="E85" s="261">
        <f>5450000-2500000</f>
        <v>2950000</v>
      </c>
    </row>
    <row r="86" spans="1:5" ht="24.75" hidden="1" customHeight="1">
      <c r="A86" s="44"/>
      <c r="B86" s="163"/>
      <c r="C86" s="270"/>
      <c r="D86" s="60"/>
      <c r="E86" s="164"/>
    </row>
    <row r="87" spans="1:5" ht="24.75" customHeight="1">
      <c r="A87" s="63"/>
      <c r="B87" s="96"/>
      <c r="C87" s="65" t="s">
        <v>45</v>
      </c>
      <c r="D87" s="66">
        <f>D85</f>
        <v>25000000</v>
      </c>
      <c r="E87" s="122">
        <f>SUM(E85:E85)</f>
        <v>2950000</v>
      </c>
    </row>
    <row r="88" spans="1:5" ht="24.75" customHeight="1">
      <c r="A88" s="44">
        <v>19</v>
      </c>
      <c r="B88" s="826" t="s">
        <v>57</v>
      </c>
      <c r="C88" s="827"/>
      <c r="D88" s="57"/>
      <c r="E88" s="119"/>
    </row>
    <row r="89" spans="1:5" ht="24.75" customHeight="1">
      <c r="A89" s="44"/>
      <c r="B89" s="47" t="s">
        <v>26</v>
      </c>
      <c r="C89" s="48" t="s">
        <v>58</v>
      </c>
      <c r="D89" s="60">
        <v>2500000</v>
      </c>
      <c r="E89" s="261">
        <v>0</v>
      </c>
    </row>
    <row r="90" spans="1:5" ht="24.75" customHeight="1">
      <c r="A90" s="183"/>
      <c r="B90" s="64"/>
      <c r="C90" s="65" t="s">
        <v>45</v>
      </c>
      <c r="D90" s="66">
        <f>SUM(D89)</f>
        <v>2500000</v>
      </c>
      <c r="E90" s="122"/>
    </row>
    <row r="91" spans="1:5" ht="24.75" customHeight="1">
      <c r="A91" s="183"/>
      <c r="B91" s="184" t="s">
        <v>72</v>
      </c>
      <c r="C91" s="48" t="s">
        <v>122</v>
      </c>
      <c r="D91" s="60">
        <f>50000000-30000000</f>
        <v>20000000</v>
      </c>
      <c r="E91" s="261">
        <v>20000000</v>
      </c>
    </row>
    <row r="92" spans="1:5" ht="24.75" customHeight="1">
      <c r="A92" s="183"/>
      <c r="B92" s="64"/>
      <c r="C92" s="65" t="s">
        <v>45</v>
      </c>
      <c r="D92" s="66">
        <f>SUM(D91)</f>
        <v>20000000</v>
      </c>
      <c r="E92" s="122">
        <f>E91</f>
        <v>20000000</v>
      </c>
    </row>
    <row r="93" spans="1:5" ht="24.75" customHeight="1">
      <c r="A93" s="44">
        <v>32</v>
      </c>
      <c r="B93" s="97" t="s">
        <v>59</v>
      </c>
      <c r="C93" s="98"/>
      <c r="D93" s="57"/>
      <c r="E93" s="119"/>
    </row>
    <row r="94" spans="1:5" ht="24.75" customHeight="1">
      <c r="A94" s="44"/>
      <c r="B94" s="47" t="s">
        <v>26</v>
      </c>
      <c r="C94" s="58" t="s">
        <v>60</v>
      </c>
      <c r="D94" s="60">
        <v>15000000</v>
      </c>
      <c r="E94" s="261">
        <v>400</v>
      </c>
    </row>
    <row r="95" spans="1:5" ht="24.75" customHeight="1">
      <c r="A95" s="63"/>
      <c r="B95" s="64"/>
      <c r="C95" s="65" t="s">
        <v>45</v>
      </c>
      <c r="D95" s="66">
        <f>SUM(D94)</f>
        <v>15000000</v>
      </c>
      <c r="E95" s="122">
        <f>SUM(E94:E94)</f>
        <v>400</v>
      </c>
    </row>
    <row r="96" spans="1:5" ht="24.75" customHeight="1">
      <c r="A96" s="99">
        <v>15</v>
      </c>
      <c r="B96" s="100" t="s">
        <v>77</v>
      </c>
      <c r="C96" s="245"/>
      <c r="D96" s="70"/>
      <c r="E96" s="123"/>
    </row>
    <row r="97" spans="1:5" ht="24.75" customHeight="1">
      <c r="A97" s="84"/>
      <c r="B97" s="101" t="s">
        <v>78</v>
      </c>
      <c r="C97" s="48"/>
      <c r="D97" s="102"/>
      <c r="E97" s="119"/>
    </row>
    <row r="98" spans="1:5" ht="24.75" customHeight="1">
      <c r="A98" s="44"/>
      <c r="B98" s="47" t="s">
        <v>26</v>
      </c>
      <c r="C98" s="48" t="s">
        <v>79</v>
      </c>
      <c r="D98" s="60">
        <v>3000000</v>
      </c>
      <c r="E98" s="261">
        <v>0</v>
      </c>
    </row>
    <row r="99" spans="1:5" ht="24.75" customHeight="1">
      <c r="A99" s="89"/>
      <c r="B99" s="61" t="s">
        <v>80</v>
      </c>
      <c r="C99" s="103" t="s">
        <v>104</v>
      </c>
      <c r="D99" s="91">
        <v>15000000</v>
      </c>
      <c r="E99" s="271">
        <v>0</v>
      </c>
    </row>
    <row r="100" spans="1:5" ht="24.75" customHeight="1">
      <c r="A100" s="93"/>
      <c r="B100" s="83"/>
      <c r="C100" s="65" t="s">
        <v>45</v>
      </c>
      <c r="D100" s="66">
        <f>SUM(D98:D99)</f>
        <v>18000000</v>
      </c>
      <c r="E100" s="66">
        <f>SUM(E98:E99)</f>
        <v>0</v>
      </c>
    </row>
    <row r="101" spans="1:5" ht="24.75" customHeight="1">
      <c r="A101" s="84">
        <v>18</v>
      </c>
      <c r="B101" s="75" t="s">
        <v>82</v>
      </c>
      <c r="C101" s="76"/>
      <c r="D101" s="57"/>
      <c r="E101" s="119"/>
    </row>
    <row r="102" spans="1:5" ht="24.75" customHeight="1">
      <c r="A102" s="84"/>
      <c r="B102" s="94" t="s">
        <v>29</v>
      </c>
      <c r="C102" s="48" t="s">
        <v>92</v>
      </c>
      <c r="D102" s="60">
        <v>-2500000</v>
      </c>
      <c r="E102" s="261">
        <v>0</v>
      </c>
    </row>
    <row r="103" spans="1:5" ht="24.75" customHeight="1">
      <c r="A103" s="84"/>
      <c r="B103" s="94" t="s">
        <v>83</v>
      </c>
      <c r="C103" s="48" t="s">
        <v>93</v>
      </c>
      <c r="D103" s="62">
        <v>-2500000</v>
      </c>
      <c r="E103" s="262">
        <v>0</v>
      </c>
    </row>
    <row r="104" spans="1:5" ht="24.75" customHeight="1">
      <c r="A104" s="84"/>
      <c r="B104" s="94" t="s">
        <v>53</v>
      </c>
      <c r="C104" s="48" t="s">
        <v>129</v>
      </c>
      <c r="D104" s="62">
        <v>-20000000</v>
      </c>
      <c r="E104" s="262">
        <v>0</v>
      </c>
    </row>
    <row r="105" spans="1:5" ht="24.75" customHeight="1">
      <c r="A105" s="93"/>
      <c r="B105" s="64"/>
      <c r="C105" s="65" t="s">
        <v>45</v>
      </c>
      <c r="D105" s="66"/>
      <c r="E105" s="66">
        <f t="shared" ref="E105" si="4">SUM(E102:E103)</f>
        <v>0</v>
      </c>
    </row>
    <row r="106" spans="1:5" ht="24.75" customHeight="1">
      <c r="A106" s="99">
        <v>26</v>
      </c>
      <c r="B106" s="104" t="s">
        <v>105</v>
      </c>
      <c r="C106" s="105"/>
      <c r="D106" s="57"/>
      <c r="E106" s="119"/>
    </row>
    <row r="107" spans="1:5" ht="24.75" customHeight="1">
      <c r="A107" s="44"/>
      <c r="B107" s="47" t="s">
        <v>84</v>
      </c>
      <c r="C107" s="48" t="s">
        <v>106</v>
      </c>
      <c r="D107" s="60">
        <v>4000000</v>
      </c>
      <c r="E107" s="261">
        <v>0</v>
      </c>
    </row>
    <row r="108" spans="1:5" ht="24.75" customHeight="1">
      <c r="A108" s="63"/>
      <c r="B108" s="64"/>
      <c r="C108" s="65" t="s">
        <v>45</v>
      </c>
      <c r="D108" s="66">
        <f>SUM(D107)</f>
        <v>4000000</v>
      </c>
      <c r="E108" s="66">
        <f t="shared" ref="E108" si="5">SUM(E105:E107)</f>
        <v>0</v>
      </c>
    </row>
    <row r="109" spans="1:5" ht="24.75" customHeight="1">
      <c r="A109" s="89">
        <v>16</v>
      </c>
      <c r="B109" s="104" t="s">
        <v>123</v>
      </c>
      <c r="C109" s="105"/>
      <c r="D109" s="57"/>
      <c r="E109" s="119"/>
    </row>
    <row r="110" spans="1:5" ht="24.75" customHeight="1">
      <c r="A110" s="84"/>
      <c r="B110" s="185" t="s">
        <v>124</v>
      </c>
      <c r="C110" s="186"/>
      <c r="D110" s="182"/>
      <c r="E110" s="119"/>
    </row>
    <row r="111" spans="1:5" ht="24.75" customHeight="1">
      <c r="A111" s="44"/>
      <c r="B111" s="49" t="s">
        <v>80</v>
      </c>
      <c r="C111" s="50" t="s">
        <v>125</v>
      </c>
      <c r="D111" s="62">
        <v>-34953000</v>
      </c>
      <c r="E111" s="264">
        <v>0</v>
      </c>
    </row>
    <row r="112" spans="1:5" ht="24.75" customHeight="1">
      <c r="A112" s="44"/>
      <c r="B112" s="163" t="s">
        <v>33</v>
      </c>
      <c r="C112" s="204" t="s">
        <v>126</v>
      </c>
      <c r="D112" s="205">
        <v>-9420000</v>
      </c>
      <c r="E112" s="263"/>
    </row>
    <row r="113" spans="1:7" ht="24.75" customHeight="1">
      <c r="A113" s="44"/>
      <c r="B113" s="163" t="s">
        <v>111</v>
      </c>
      <c r="C113" s="204" t="s">
        <v>81</v>
      </c>
      <c r="D113" s="205">
        <v>3000000</v>
      </c>
      <c r="E113" s="264">
        <v>3000000</v>
      </c>
    </row>
    <row r="114" spans="1:7" ht="24.75" customHeight="1">
      <c r="A114" s="63"/>
      <c r="B114" s="64"/>
      <c r="C114" s="65" t="s">
        <v>45</v>
      </c>
      <c r="D114" s="66">
        <f>D113</f>
        <v>3000000</v>
      </c>
      <c r="E114" s="66">
        <f t="shared" ref="E114" si="6">SUM(E111:E113)</f>
        <v>3000000</v>
      </c>
    </row>
    <row r="115" spans="1:7" ht="24.75" customHeight="1">
      <c r="A115" s="99">
        <v>17</v>
      </c>
      <c r="B115" s="104" t="s">
        <v>127</v>
      </c>
      <c r="C115" s="105"/>
      <c r="D115" s="57"/>
      <c r="E115" s="119"/>
    </row>
    <row r="116" spans="1:7" ht="24.75" customHeight="1">
      <c r="A116" s="44"/>
      <c r="B116" s="47" t="s">
        <v>84</v>
      </c>
      <c r="C116" s="48" t="s">
        <v>128</v>
      </c>
      <c r="D116" s="60">
        <v>-5000000</v>
      </c>
      <c r="E116" s="261"/>
    </row>
    <row r="117" spans="1:7" ht="24.75" customHeight="1">
      <c r="A117" s="63"/>
      <c r="B117" s="64"/>
      <c r="C117" s="65" t="s">
        <v>45</v>
      </c>
      <c r="D117" s="66"/>
      <c r="E117" s="66"/>
    </row>
    <row r="118" spans="1:7" ht="24.75" customHeight="1">
      <c r="A118" s="252" t="s">
        <v>83</v>
      </c>
      <c r="B118" s="880" t="s">
        <v>206</v>
      </c>
      <c r="C118" s="881"/>
      <c r="D118" s="70"/>
      <c r="E118" s="70"/>
    </row>
    <row r="119" spans="1:7" ht="24.75" customHeight="1">
      <c r="A119" s="44"/>
      <c r="B119" s="163" t="s">
        <v>29</v>
      </c>
      <c r="C119" s="204" t="s">
        <v>205</v>
      </c>
      <c r="D119" s="248">
        <v>8400000</v>
      </c>
      <c r="E119" s="269">
        <v>8400000</v>
      </c>
    </row>
    <row r="120" spans="1:7">
      <c r="A120" s="63"/>
      <c r="B120" s="254"/>
      <c r="C120" s="65" t="s">
        <v>45</v>
      </c>
      <c r="D120" s="66">
        <f>SUM(D119)</f>
        <v>8400000</v>
      </c>
      <c r="E120" s="66">
        <f>E119</f>
        <v>8400000</v>
      </c>
    </row>
    <row r="121" spans="1:7">
      <c r="A121" s="63"/>
      <c r="B121" s="249" t="s">
        <v>85</v>
      </c>
      <c r="C121" s="250"/>
      <c r="D121" s="251">
        <f>D8+D5</f>
        <v>2854728000</v>
      </c>
      <c r="E121" s="251">
        <f>E5+E8</f>
        <v>693576317</v>
      </c>
      <c r="F121" s="161">
        <v>748344104</v>
      </c>
      <c r="G121" s="178">
        <f>F121-E121</f>
        <v>54767787</v>
      </c>
    </row>
  </sheetData>
  <mergeCells count="15">
    <mergeCell ref="B84:C84"/>
    <mergeCell ref="B88:C88"/>
    <mergeCell ref="B118:C118"/>
    <mergeCell ref="B68:C68"/>
    <mergeCell ref="B69:C69"/>
    <mergeCell ref="B72:C72"/>
    <mergeCell ref="B75:C75"/>
    <mergeCell ref="B78:C78"/>
    <mergeCell ref="B81:C81"/>
    <mergeCell ref="B58:C58"/>
    <mergeCell ref="A1:A3"/>
    <mergeCell ref="B1:C3"/>
    <mergeCell ref="B4:C4"/>
    <mergeCell ref="B52:C52"/>
    <mergeCell ref="B53:C53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5"/>
  <sheetViews>
    <sheetView workbookViewId="0">
      <selection activeCell="H16" sqref="H16"/>
    </sheetView>
  </sheetViews>
  <sheetFormatPr defaultRowHeight="15"/>
  <cols>
    <col min="1" max="1" width="5.85546875" style="358" customWidth="1"/>
    <col min="2" max="2" width="39.7109375" customWidth="1"/>
    <col min="3" max="3" width="23.85546875" style="378" customWidth="1"/>
    <col min="4" max="4" width="30.140625" style="378" customWidth="1"/>
    <col min="5" max="5" width="22.28515625" style="378" customWidth="1"/>
    <col min="6" max="6" width="22.5703125" style="382" customWidth="1"/>
    <col min="7" max="7" width="17" style="545" customWidth="1"/>
    <col min="8" max="9" width="13.42578125" customWidth="1"/>
    <col min="10" max="10" width="15.85546875" bestFit="1" customWidth="1"/>
  </cols>
  <sheetData>
    <row r="1" spans="1:9" ht="15.75">
      <c r="A1" s="886" t="s">
        <v>236</v>
      </c>
      <c r="B1" s="886"/>
      <c r="C1" s="886"/>
      <c r="D1" s="886"/>
      <c r="E1" s="886"/>
      <c r="F1" s="886"/>
      <c r="G1" s="886"/>
      <c r="H1" s="886"/>
      <c r="I1" s="671"/>
    </row>
    <row r="2" spans="1:9" ht="15.75">
      <c r="A2" s="886" t="s">
        <v>263</v>
      </c>
      <c r="B2" s="886"/>
      <c r="C2" s="886"/>
      <c r="D2" s="886"/>
      <c r="E2" s="886"/>
      <c r="F2" s="886"/>
      <c r="G2" s="886"/>
      <c r="H2" s="886"/>
      <c r="I2" s="671"/>
    </row>
    <row r="3" spans="1:9" ht="15.75">
      <c r="A3" s="886" t="s">
        <v>543</v>
      </c>
      <c r="B3" s="886"/>
      <c r="C3" s="886"/>
      <c r="D3" s="886"/>
      <c r="E3" s="886"/>
      <c r="F3" s="886"/>
      <c r="G3" s="886"/>
      <c r="H3" s="886"/>
      <c r="I3" s="671"/>
    </row>
    <row r="4" spans="1:9">
      <c r="A4" s="363" t="s">
        <v>246</v>
      </c>
      <c r="B4" s="364" t="s">
        <v>214</v>
      </c>
      <c r="C4" s="375"/>
      <c r="D4" s="375"/>
      <c r="E4" s="375"/>
      <c r="F4" s="379"/>
      <c r="G4" s="686"/>
      <c r="H4" s="364"/>
      <c r="I4" s="364"/>
    </row>
    <row r="5" spans="1:9" s="358" customFormat="1" ht="77.25" customHeight="1">
      <c r="A5" s="365" t="s">
        <v>3</v>
      </c>
      <c r="B5" s="366" t="s">
        <v>237</v>
      </c>
      <c r="C5" s="366" t="s">
        <v>238</v>
      </c>
      <c r="D5" s="366" t="s">
        <v>239</v>
      </c>
      <c r="E5" s="366" t="s">
        <v>240</v>
      </c>
      <c r="F5" s="380" t="s">
        <v>241</v>
      </c>
      <c r="G5" s="676" t="s">
        <v>242</v>
      </c>
      <c r="H5" s="366" t="s">
        <v>243</v>
      </c>
      <c r="I5" s="692"/>
    </row>
    <row r="6" spans="1:9">
      <c r="A6" s="367">
        <v>1</v>
      </c>
      <c r="B6" s="368">
        <v>2</v>
      </c>
      <c r="C6" s="367">
        <v>3</v>
      </c>
      <c r="D6" s="367">
        <v>4</v>
      </c>
      <c r="E6" s="367">
        <v>5</v>
      </c>
      <c r="F6" s="367">
        <v>6</v>
      </c>
      <c r="G6" s="687">
        <v>7</v>
      </c>
      <c r="H6" s="368">
        <v>8</v>
      </c>
      <c r="I6" s="698"/>
    </row>
    <row r="7" spans="1:9" s="359" customFormat="1" ht="32.25" customHeight="1">
      <c r="A7" s="365"/>
      <c r="B7" s="369" t="s">
        <v>247</v>
      </c>
      <c r="C7" s="365" t="s">
        <v>253</v>
      </c>
      <c r="D7" s="365" t="s">
        <v>255</v>
      </c>
      <c r="E7" s="365" t="s">
        <v>257</v>
      </c>
      <c r="F7" s="387">
        <f>F8</f>
        <v>40000000</v>
      </c>
      <c r="G7" s="690">
        <f>G8</f>
        <v>40000000</v>
      </c>
      <c r="H7" s="680">
        <f>G7/F7*100</f>
        <v>100</v>
      </c>
      <c r="I7" s="693"/>
    </row>
    <row r="8" spans="1:9" s="357" customFormat="1" ht="25.5" customHeight="1">
      <c r="A8" s="365">
        <v>1</v>
      </c>
      <c r="B8" s="371" t="s">
        <v>258</v>
      </c>
      <c r="C8" s="365" t="s">
        <v>253</v>
      </c>
      <c r="D8" s="365" t="s">
        <v>255</v>
      </c>
      <c r="E8" s="365" t="s">
        <v>257</v>
      </c>
      <c r="F8" s="383">
        <v>40000000</v>
      </c>
      <c r="G8" s="691">
        <f>F8</f>
        <v>40000000</v>
      </c>
      <c r="H8" s="681"/>
      <c r="I8" s="694"/>
    </row>
    <row r="9" spans="1:9" s="357" customFormat="1" ht="25.5" customHeight="1">
      <c r="A9" s="365"/>
      <c r="B9" s="373" t="s">
        <v>248</v>
      </c>
      <c r="C9" s="365" t="s">
        <v>253</v>
      </c>
      <c r="D9" s="365" t="s">
        <v>255</v>
      </c>
      <c r="E9" s="365" t="s">
        <v>257</v>
      </c>
      <c r="F9" s="385">
        <f>F10+F11+F12+F13</f>
        <v>20000000</v>
      </c>
      <c r="G9" s="684">
        <f>G10+G11+G12+G13</f>
        <v>14475000</v>
      </c>
      <c r="H9" s="682">
        <f>G9/F9*100</f>
        <v>72.375</v>
      </c>
      <c r="I9" s="695"/>
    </row>
    <row r="10" spans="1:9" s="357" customFormat="1" ht="18.75" customHeight="1">
      <c r="A10" s="365">
        <v>2</v>
      </c>
      <c r="B10" s="371" t="s">
        <v>259</v>
      </c>
      <c r="C10" s="365" t="s">
        <v>253</v>
      </c>
      <c r="D10" s="365" t="s">
        <v>255</v>
      </c>
      <c r="E10" s="365" t="s">
        <v>257</v>
      </c>
      <c r="F10" s="384">
        <v>2000000</v>
      </c>
      <c r="G10" s="679">
        <v>975000</v>
      </c>
      <c r="H10" s="681"/>
      <c r="I10" s="694"/>
    </row>
    <row r="11" spans="1:9" s="357" customFormat="1" ht="18.75" customHeight="1">
      <c r="A11" s="365">
        <v>3</v>
      </c>
      <c r="B11" s="371" t="s">
        <v>260</v>
      </c>
      <c r="C11" s="365" t="s">
        <v>253</v>
      </c>
      <c r="D11" s="365" t="s">
        <v>255</v>
      </c>
      <c r="E11" s="365" t="s">
        <v>257</v>
      </c>
      <c r="F11" s="384">
        <v>6500000</v>
      </c>
      <c r="G11" s="679">
        <v>6500000</v>
      </c>
      <c r="H11" s="681"/>
      <c r="I11" s="694"/>
    </row>
    <row r="12" spans="1:9" s="357" customFormat="1" ht="18.75" customHeight="1">
      <c r="A12" s="365">
        <v>4</v>
      </c>
      <c r="B12" s="371" t="s">
        <v>261</v>
      </c>
      <c r="C12" s="365" t="s">
        <v>253</v>
      </c>
      <c r="D12" s="365" t="s">
        <v>255</v>
      </c>
      <c r="E12" s="365" t="s">
        <v>257</v>
      </c>
      <c r="F12" s="384">
        <v>7000000</v>
      </c>
      <c r="G12" s="679">
        <v>7000000</v>
      </c>
      <c r="H12" s="681"/>
      <c r="I12" s="694"/>
    </row>
    <row r="13" spans="1:9" s="357" customFormat="1" ht="18.75" customHeight="1">
      <c r="A13" s="365">
        <v>5</v>
      </c>
      <c r="B13" s="371" t="s">
        <v>262</v>
      </c>
      <c r="C13" s="365" t="s">
        <v>253</v>
      </c>
      <c r="D13" s="365" t="s">
        <v>255</v>
      </c>
      <c r="E13" s="365" t="s">
        <v>257</v>
      </c>
      <c r="F13" s="384">
        <v>4500000</v>
      </c>
      <c r="G13" s="678">
        <v>0</v>
      </c>
      <c r="H13" s="681"/>
      <c r="I13" s="694"/>
    </row>
    <row r="14" spans="1:9" s="360" customFormat="1" ht="31.5" customHeight="1">
      <c r="A14" s="366"/>
      <c r="B14" s="369" t="s">
        <v>249</v>
      </c>
      <c r="C14" s="365" t="s">
        <v>253</v>
      </c>
      <c r="D14" s="365" t="s">
        <v>255</v>
      </c>
      <c r="E14" s="365" t="s">
        <v>257</v>
      </c>
      <c r="F14" s="386">
        <f>F15</f>
        <v>7000000</v>
      </c>
      <c r="G14" s="684">
        <f>G15</f>
        <v>7000000</v>
      </c>
      <c r="H14" s="680">
        <f>G14/F14*100</f>
        <v>100</v>
      </c>
      <c r="I14" s="693"/>
    </row>
    <row r="15" spans="1:9" s="357" customFormat="1" ht="25.5" customHeight="1">
      <c r="A15" s="365">
        <v>6</v>
      </c>
      <c r="B15" s="371" t="s">
        <v>261</v>
      </c>
      <c r="C15" s="365" t="s">
        <v>253</v>
      </c>
      <c r="D15" s="365" t="s">
        <v>255</v>
      </c>
      <c r="E15" s="365" t="s">
        <v>257</v>
      </c>
      <c r="F15" s="384">
        <v>7000000</v>
      </c>
      <c r="G15" s="679">
        <f>F15</f>
        <v>7000000</v>
      </c>
      <c r="H15" s="370"/>
      <c r="I15" s="696"/>
    </row>
    <row r="16" spans="1:9" s="357" customFormat="1" ht="25.5" customHeight="1">
      <c r="A16" s="365"/>
      <c r="B16" s="373" t="s">
        <v>222</v>
      </c>
      <c r="C16" s="365" t="s">
        <v>254</v>
      </c>
      <c r="D16" s="365" t="s">
        <v>256</v>
      </c>
      <c r="E16" s="365" t="s">
        <v>257</v>
      </c>
      <c r="F16" s="385">
        <f>F17</f>
        <v>50000000</v>
      </c>
      <c r="G16" s="685">
        <v>0</v>
      </c>
      <c r="H16" s="372">
        <f>G16/F16*100</f>
        <v>0</v>
      </c>
      <c r="I16" s="697"/>
    </row>
    <row r="17" spans="1:10" s="357" customFormat="1" ht="25.5" customHeight="1">
      <c r="A17" s="365">
        <v>7</v>
      </c>
      <c r="B17" s="371" t="s">
        <v>250</v>
      </c>
      <c r="C17" s="365" t="s">
        <v>254</v>
      </c>
      <c r="D17" s="365" t="s">
        <v>256</v>
      </c>
      <c r="E17" s="365" t="s">
        <v>257</v>
      </c>
      <c r="F17" s="384">
        <v>50000000</v>
      </c>
      <c r="G17" s="679"/>
      <c r="H17" s="370"/>
      <c r="I17" s="696"/>
    </row>
    <row r="18" spans="1:10" s="357" customFormat="1" ht="32.25" customHeight="1">
      <c r="A18" s="365"/>
      <c r="B18" s="369" t="s">
        <v>251</v>
      </c>
      <c r="C18" s="365" t="s">
        <v>254</v>
      </c>
      <c r="D18" s="365" t="s">
        <v>256</v>
      </c>
      <c r="E18" s="365" t="s">
        <v>257</v>
      </c>
      <c r="F18" s="385">
        <f>F19</f>
        <v>200000000</v>
      </c>
      <c r="G18" s="684">
        <f>G19</f>
        <v>199258000</v>
      </c>
      <c r="H18" s="682">
        <f>G18/F18*100</f>
        <v>99.629000000000005</v>
      </c>
      <c r="I18" s="695"/>
    </row>
    <row r="19" spans="1:10" s="357" customFormat="1" ht="42.75" customHeight="1">
      <c r="A19" s="365">
        <v>8</v>
      </c>
      <c r="B19" s="374" t="s">
        <v>252</v>
      </c>
      <c r="C19" s="365" t="s">
        <v>254</v>
      </c>
      <c r="D19" s="365" t="s">
        <v>256</v>
      </c>
      <c r="E19" s="365" t="s">
        <v>257</v>
      </c>
      <c r="F19" s="384">
        <v>200000000</v>
      </c>
      <c r="G19" s="679">
        <v>199258000</v>
      </c>
      <c r="H19" s="370"/>
      <c r="I19" s="696"/>
    </row>
    <row r="20" spans="1:10" s="357" customFormat="1" ht="25.5" customHeight="1">
      <c r="A20" s="365"/>
      <c r="B20" s="372" t="s">
        <v>163</v>
      </c>
      <c r="C20" s="376"/>
      <c r="D20" s="376"/>
      <c r="E20" s="376"/>
      <c r="F20" s="385">
        <f>F7+F9+F14+F16+F18</f>
        <v>317000000</v>
      </c>
      <c r="G20" s="677">
        <f>G7+G9+G14+G16+G18</f>
        <v>260733000</v>
      </c>
      <c r="H20" s="682">
        <f>G20/F20*100</f>
        <v>82.250157728706625</v>
      </c>
      <c r="I20" s="695"/>
      <c r="J20" s="683">
        <f>F20-G20</f>
        <v>56267000</v>
      </c>
    </row>
    <row r="21" spans="1:10" s="357" customFormat="1" ht="14.25">
      <c r="A21" s="363"/>
      <c r="B21" s="364"/>
      <c r="C21" s="375"/>
      <c r="D21" s="375"/>
      <c r="E21" s="375"/>
      <c r="F21" s="379"/>
      <c r="G21" s="686"/>
      <c r="H21" s="364"/>
      <c r="I21" s="364"/>
    </row>
    <row r="22" spans="1:10" s="357" customFormat="1" ht="14.25">
      <c r="A22" s="363"/>
      <c r="B22" s="364"/>
      <c r="C22" s="375"/>
      <c r="D22" s="375"/>
      <c r="E22" s="375"/>
      <c r="F22" s="882" t="s">
        <v>197</v>
      </c>
      <c r="G22" s="882"/>
      <c r="H22" s="364"/>
      <c r="I22" s="364"/>
    </row>
    <row r="23" spans="1:10" s="357" customFormat="1" ht="14.25">
      <c r="A23" s="363"/>
      <c r="B23" s="364"/>
      <c r="C23" s="375"/>
      <c r="D23" s="375"/>
      <c r="E23" s="375"/>
      <c r="F23" s="882" t="s">
        <v>86</v>
      </c>
      <c r="G23" s="882"/>
      <c r="H23" s="364"/>
      <c r="I23" s="364"/>
    </row>
    <row r="24" spans="1:10" s="357" customFormat="1" ht="14.25">
      <c r="A24" s="363"/>
      <c r="B24" s="364"/>
      <c r="C24" s="375"/>
      <c r="D24" s="375"/>
      <c r="E24" s="375"/>
      <c r="F24" s="388"/>
      <c r="G24" s="688"/>
      <c r="H24" s="364"/>
      <c r="I24" s="364"/>
    </row>
    <row r="25" spans="1:10" s="357" customFormat="1" ht="14.25">
      <c r="A25" s="363"/>
      <c r="B25" s="364"/>
      <c r="C25" s="375"/>
      <c r="D25" s="375"/>
      <c r="E25" s="375"/>
      <c r="F25" s="388"/>
      <c r="G25" s="688"/>
      <c r="H25" s="364"/>
      <c r="I25" s="364"/>
    </row>
    <row r="26" spans="1:10" s="357" customFormat="1" ht="14.25">
      <c r="A26" s="363"/>
      <c r="B26" s="364"/>
      <c r="C26" s="375"/>
      <c r="D26" s="375"/>
      <c r="E26" s="375"/>
      <c r="F26" s="883" t="s">
        <v>120</v>
      </c>
      <c r="G26" s="884"/>
      <c r="H26" s="364"/>
      <c r="I26" s="364"/>
    </row>
    <row r="27" spans="1:10" s="357" customFormat="1" ht="14.25">
      <c r="A27" s="363"/>
      <c r="B27" s="364"/>
      <c r="C27" s="375"/>
      <c r="D27" s="375"/>
      <c r="E27" s="375"/>
      <c r="F27" s="885" t="s">
        <v>198</v>
      </c>
      <c r="G27" s="885"/>
      <c r="H27" s="364"/>
      <c r="I27" s="364"/>
    </row>
    <row r="28" spans="1:10" s="357" customFormat="1" ht="14.25">
      <c r="A28" s="363"/>
      <c r="B28" s="364"/>
      <c r="C28" s="375"/>
      <c r="D28" s="375"/>
      <c r="E28" s="375"/>
      <c r="F28" s="379"/>
      <c r="G28" s="686"/>
      <c r="H28" s="364"/>
      <c r="I28" s="364"/>
    </row>
    <row r="29" spans="1:10" s="357" customFormat="1" ht="14.25">
      <c r="A29" s="363"/>
      <c r="B29" s="364"/>
      <c r="C29" s="375"/>
      <c r="D29" s="375"/>
      <c r="E29" s="375"/>
      <c r="F29" s="379"/>
      <c r="G29" s="686"/>
      <c r="H29" s="364"/>
      <c r="I29" s="364"/>
    </row>
    <row r="30" spans="1:10" s="357" customFormat="1" ht="14.25">
      <c r="A30" s="363"/>
      <c r="B30" s="364"/>
      <c r="C30" s="375"/>
      <c r="D30" s="375"/>
      <c r="E30" s="375"/>
      <c r="F30" s="379"/>
      <c r="G30" s="686"/>
      <c r="H30" s="364"/>
      <c r="I30" s="364"/>
    </row>
    <row r="31" spans="1:10" s="357" customFormat="1" ht="14.25">
      <c r="A31" s="363"/>
      <c r="B31" s="364"/>
      <c r="C31" s="375"/>
      <c r="D31" s="375"/>
      <c r="E31" s="375"/>
      <c r="F31" s="379"/>
      <c r="G31" s="686"/>
      <c r="H31" s="364"/>
      <c r="I31" s="364"/>
    </row>
    <row r="32" spans="1:10" s="357" customFormat="1" ht="14.25">
      <c r="A32" s="363"/>
      <c r="B32" s="364"/>
      <c r="C32" s="375"/>
      <c r="D32" s="375"/>
      <c r="E32" s="375"/>
      <c r="F32" s="379"/>
      <c r="G32" s="686"/>
      <c r="H32" s="364"/>
      <c r="I32" s="364"/>
    </row>
    <row r="33" spans="1:9" s="357" customFormat="1" ht="14.25">
      <c r="A33" s="363"/>
      <c r="B33" s="364"/>
      <c r="C33" s="375"/>
      <c r="D33" s="375"/>
      <c r="E33" s="375"/>
      <c r="F33" s="379"/>
      <c r="G33" s="686"/>
      <c r="H33" s="364"/>
      <c r="I33" s="364"/>
    </row>
    <row r="34" spans="1:9" s="357" customFormat="1" ht="14.25">
      <c r="A34" s="363"/>
      <c r="B34" s="364"/>
      <c r="C34" s="375"/>
      <c r="D34" s="375"/>
      <c r="E34" s="375"/>
      <c r="F34" s="379"/>
      <c r="G34" s="686"/>
      <c r="H34" s="364"/>
      <c r="I34" s="364"/>
    </row>
    <row r="35" spans="1:9" s="357" customFormat="1" ht="14.25">
      <c r="A35" s="363"/>
      <c r="B35" s="364"/>
      <c r="C35" s="375"/>
      <c r="D35" s="375"/>
      <c r="E35" s="375"/>
      <c r="F35" s="379"/>
      <c r="G35" s="686"/>
      <c r="H35" s="364"/>
      <c r="I35" s="364"/>
    </row>
    <row r="36" spans="1:9" s="357" customFormat="1" ht="14.25">
      <c r="A36" s="363"/>
      <c r="B36" s="364"/>
      <c r="C36" s="375"/>
      <c r="D36" s="375"/>
      <c r="E36" s="375"/>
      <c r="F36" s="379"/>
      <c r="G36" s="686"/>
      <c r="H36" s="364"/>
      <c r="I36" s="364"/>
    </row>
    <row r="37" spans="1:9" s="357" customFormat="1" ht="14.25">
      <c r="A37" s="363"/>
      <c r="B37" s="364"/>
      <c r="C37" s="375"/>
      <c r="D37" s="375"/>
      <c r="E37" s="375"/>
      <c r="F37" s="379"/>
      <c r="G37" s="686"/>
      <c r="H37" s="364"/>
      <c r="I37" s="364"/>
    </row>
    <row r="38" spans="1:9" s="357" customFormat="1" ht="14.25">
      <c r="A38" s="361"/>
      <c r="C38" s="377"/>
      <c r="D38" s="377"/>
      <c r="E38" s="377"/>
      <c r="F38" s="381"/>
      <c r="G38" s="689"/>
    </row>
    <row r="39" spans="1:9" s="357" customFormat="1" ht="14.25">
      <c r="A39" s="361"/>
      <c r="C39" s="377"/>
      <c r="D39" s="377"/>
      <c r="E39" s="377"/>
      <c r="F39" s="381"/>
      <c r="G39" s="689"/>
    </row>
    <row r="40" spans="1:9" s="357" customFormat="1" ht="14.25">
      <c r="A40" s="361"/>
      <c r="C40" s="377"/>
      <c r="D40" s="377"/>
      <c r="E40" s="377"/>
      <c r="F40" s="381"/>
      <c r="G40" s="689"/>
    </row>
    <row r="41" spans="1:9" s="357" customFormat="1" ht="14.25">
      <c r="A41" s="361"/>
      <c r="C41" s="377"/>
      <c r="D41" s="377"/>
      <c r="E41" s="377"/>
      <c r="F41" s="381"/>
      <c r="G41" s="689"/>
    </row>
    <row r="42" spans="1:9" s="357" customFormat="1" ht="14.25">
      <c r="A42" s="361"/>
      <c r="C42" s="377"/>
      <c r="D42" s="377"/>
      <c r="E42" s="377"/>
      <c r="F42" s="381"/>
      <c r="G42" s="689"/>
    </row>
    <row r="43" spans="1:9" s="357" customFormat="1" ht="14.25">
      <c r="A43" s="361"/>
      <c r="C43" s="377"/>
      <c r="D43" s="377"/>
      <c r="E43" s="377"/>
      <c r="F43" s="381"/>
      <c r="G43" s="689"/>
    </row>
    <row r="44" spans="1:9" s="357" customFormat="1" ht="14.25">
      <c r="A44" s="361"/>
      <c r="C44" s="377"/>
      <c r="D44" s="377"/>
      <c r="E44" s="377"/>
      <c r="F44" s="381"/>
      <c r="G44" s="689"/>
    </row>
    <row r="45" spans="1:9" s="357" customFormat="1" ht="14.25">
      <c r="A45" s="361"/>
      <c r="C45" s="377"/>
      <c r="D45" s="377"/>
      <c r="E45" s="377"/>
      <c r="F45" s="381"/>
      <c r="G45" s="689"/>
    </row>
    <row r="46" spans="1:9" s="357" customFormat="1" ht="14.25">
      <c r="A46" s="361"/>
      <c r="C46" s="377"/>
      <c r="D46" s="377"/>
      <c r="E46" s="377"/>
      <c r="F46" s="381"/>
      <c r="G46" s="689"/>
    </row>
    <row r="47" spans="1:9" s="357" customFormat="1" ht="14.25">
      <c r="A47" s="361"/>
      <c r="C47" s="377"/>
      <c r="D47" s="377"/>
      <c r="E47" s="377"/>
      <c r="F47" s="381"/>
      <c r="G47" s="689"/>
    </row>
    <row r="48" spans="1:9" s="357" customFormat="1" ht="14.25">
      <c r="A48" s="361"/>
      <c r="C48" s="377"/>
      <c r="D48" s="377"/>
      <c r="E48" s="377"/>
      <c r="F48" s="381"/>
      <c r="G48" s="689"/>
    </row>
    <row r="49" spans="1:7" s="357" customFormat="1" ht="14.25">
      <c r="A49" s="361"/>
      <c r="C49" s="377"/>
      <c r="D49" s="377"/>
      <c r="E49" s="377"/>
      <c r="F49" s="381"/>
      <c r="G49" s="689"/>
    </row>
    <row r="50" spans="1:7" s="357" customFormat="1" ht="14.25">
      <c r="A50" s="361"/>
      <c r="C50" s="377"/>
      <c r="D50" s="377"/>
      <c r="E50" s="377"/>
      <c r="F50" s="381"/>
      <c r="G50" s="689"/>
    </row>
    <row r="51" spans="1:7" s="357" customFormat="1" ht="14.25">
      <c r="A51" s="361"/>
      <c r="C51" s="377"/>
      <c r="D51" s="377"/>
      <c r="E51" s="377"/>
      <c r="F51" s="381"/>
      <c r="G51" s="689"/>
    </row>
    <row r="52" spans="1:7" s="357" customFormat="1" ht="14.25">
      <c r="A52" s="361"/>
      <c r="C52" s="377"/>
      <c r="D52" s="377"/>
      <c r="E52" s="377"/>
      <c r="F52" s="381"/>
      <c r="G52" s="689"/>
    </row>
    <row r="53" spans="1:7" s="357" customFormat="1" ht="14.25">
      <c r="A53" s="361"/>
      <c r="C53" s="377"/>
      <c r="D53" s="377"/>
      <c r="E53" s="377"/>
      <c r="F53" s="381"/>
      <c r="G53" s="689"/>
    </row>
    <row r="54" spans="1:7" s="357" customFormat="1" ht="14.25">
      <c r="A54" s="361"/>
      <c r="C54" s="377"/>
      <c r="D54" s="377"/>
      <c r="E54" s="377"/>
      <c r="F54" s="381"/>
      <c r="G54" s="689"/>
    </row>
    <row r="55" spans="1:7" s="357" customFormat="1" ht="14.25">
      <c r="A55" s="361"/>
      <c r="C55" s="377"/>
      <c r="D55" s="377"/>
      <c r="E55" s="377"/>
      <c r="F55" s="381"/>
      <c r="G55" s="689"/>
    </row>
    <row r="56" spans="1:7" s="357" customFormat="1" ht="14.25">
      <c r="A56" s="361"/>
      <c r="C56" s="377"/>
      <c r="D56" s="377"/>
      <c r="E56" s="377"/>
      <c r="F56" s="381"/>
      <c r="G56" s="689"/>
    </row>
    <row r="57" spans="1:7" s="357" customFormat="1" ht="14.25">
      <c r="A57" s="361"/>
      <c r="C57" s="377"/>
      <c r="D57" s="377"/>
      <c r="E57" s="377"/>
      <c r="F57" s="381"/>
      <c r="G57" s="689"/>
    </row>
    <row r="58" spans="1:7" s="357" customFormat="1" ht="14.25">
      <c r="A58" s="361"/>
      <c r="C58" s="377"/>
      <c r="D58" s="377"/>
      <c r="E58" s="377"/>
      <c r="F58" s="381"/>
      <c r="G58" s="689"/>
    </row>
    <row r="59" spans="1:7" s="357" customFormat="1" ht="14.25">
      <c r="A59" s="361"/>
      <c r="C59" s="377"/>
      <c r="D59" s="377"/>
      <c r="E59" s="377"/>
      <c r="F59" s="381"/>
      <c r="G59" s="689"/>
    </row>
    <row r="60" spans="1:7" s="357" customFormat="1" ht="14.25">
      <c r="A60" s="361"/>
      <c r="C60" s="377"/>
      <c r="D60" s="377"/>
      <c r="E60" s="377"/>
      <c r="F60" s="381"/>
      <c r="G60" s="689"/>
    </row>
    <row r="61" spans="1:7" s="357" customFormat="1" ht="14.25">
      <c r="A61" s="361"/>
      <c r="C61" s="377"/>
      <c r="D61" s="377"/>
      <c r="E61" s="377"/>
      <c r="F61" s="381"/>
      <c r="G61" s="689"/>
    </row>
    <row r="62" spans="1:7" s="357" customFormat="1" ht="14.25">
      <c r="A62" s="361"/>
      <c r="C62" s="377"/>
      <c r="D62" s="377"/>
      <c r="E62" s="377"/>
      <c r="F62" s="381"/>
      <c r="G62" s="689"/>
    </row>
    <row r="63" spans="1:7" s="357" customFormat="1" ht="14.25">
      <c r="A63" s="361"/>
      <c r="C63" s="377"/>
      <c r="D63" s="377"/>
      <c r="E63" s="377"/>
      <c r="F63" s="381"/>
      <c r="G63" s="689"/>
    </row>
    <row r="64" spans="1:7" s="357" customFormat="1" ht="14.25">
      <c r="A64" s="361"/>
      <c r="C64" s="377"/>
      <c r="D64" s="377"/>
      <c r="E64" s="377"/>
      <c r="F64" s="381"/>
      <c r="G64" s="689"/>
    </row>
    <row r="65" spans="1:7" s="357" customFormat="1" ht="14.25">
      <c r="A65" s="361"/>
      <c r="C65" s="377"/>
      <c r="D65" s="377"/>
      <c r="E65" s="377"/>
      <c r="F65" s="381"/>
      <c r="G65" s="689"/>
    </row>
  </sheetData>
  <mergeCells count="7">
    <mergeCell ref="F22:G22"/>
    <mergeCell ref="F23:G23"/>
    <mergeCell ref="F26:G26"/>
    <mergeCell ref="F27:G27"/>
    <mergeCell ref="A1:H1"/>
    <mergeCell ref="A2:H2"/>
    <mergeCell ref="A3:H3"/>
  </mergeCells>
  <printOptions horizontalCentered="1"/>
  <pageMargins left="0.22" right="0.70866141732283472" top="0.74803149606299213" bottom="0.15748031496062992" header="0.31496062992125984" footer="0.11811023622047245"/>
  <pageSetup paperSize="5" scale="85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Z22"/>
  <sheetViews>
    <sheetView workbookViewId="0">
      <selection activeCell="J25" sqref="J25"/>
    </sheetView>
  </sheetViews>
  <sheetFormatPr defaultRowHeight="15"/>
  <cols>
    <col min="1" max="1" width="19.7109375" customWidth="1"/>
    <col min="2" max="25" width="8.140625" customWidth="1"/>
  </cols>
  <sheetData>
    <row r="1" spans="1:26" s="389" customFormat="1" ht="27.75" customHeight="1">
      <c r="A1" s="895" t="s">
        <v>555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5"/>
      <c r="Z1" s="895"/>
    </row>
    <row r="2" spans="1:26" s="389" customFormat="1" ht="27.75" customHeight="1">
      <c r="A2" s="895" t="s">
        <v>263</v>
      </c>
      <c r="B2" s="895"/>
      <c r="C2" s="895"/>
      <c r="D2" s="895"/>
      <c r="E2" s="895"/>
      <c r="F2" s="895"/>
      <c r="G2" s="895"/>
      <c r="H2" s="895"/>
      <c r="I2" s="895"/>
      <c r="J2" s="895"/>
      <c r="K2" s="895"/>
      <c r="L2" s="895"/>
      <c r="M2" s="895"/>
      <c r="N2" s="895"/>
      <c r="O2" s="895"/>
      <c r="P2" s="895"/>
      <c r="Q2" s="895"/>
      <c r="R2" s="895"/>
      <c r="S2" s="895"/>
      <c r="T2" s="895"/>
      <c r="U2" s="895"/>
      <c r="V2" s="895"/>
      <c r="W2" s="895"/>
      <c r="X2" s="895"/>
      <c r="Y2" s="895"/>
      <c r="Z2" s="895"/>
    </row>
    <row r="3" spans="1:26" s="362" customFormat="1" ht="18.75">
      <c r="A3" s="393"/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</row>
    <row r="4" spans="1:26" s="362" customFormat="1" ht="18.75">
      <c r="A4" s="394" t="s">
        <v>264</v>
      </c>
      <c r="B4" s="394" t="s">
        <v>214</v>
      </c>
      <c r="C4" s="394"/>
      <c r="D4" s="394"/>
      <c r="E4" s="394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</row>
    <row r="5" spans="1:26" s="362" customFormat="1" ht="17.25" thickBot="1"/>
    <row r="6" spans="1:26" s="362" customFormat="1" ht="30" customHeight="1">
      <c r="A6" s="896" t="s">
        <v>265</v>
      </c>
      <c r="B6" s="891" t="s">
        <v>266</v>
      </c>
      <c r="C6" s="891"/>
      <c r="D6" s="891"/>
      <c r="E6" s="891"/>
      <c r="F6" s="891"/>
      <c r="G6" s="891"/>
      <c r="H6" s="891"/>
      <c r="I6" s="891"/>
      <c r="J6" s="891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2" t="s">
        <v>270</v>
      </c>
    </row>
    <row r="7" spans="1:26" s="362" customFormat="1" ht="25.5">
      <c r="A7" s="897"/>
      <c r="B7" s="395" t="s">
        <v>267</v>
      </c>
      <c r="C7" s="395" t="s">
        <v>268</v>
      </c>
      <c r="D7" s="395" t="s">
        <v>267</v>
      </c>
      <c r="E7" s="395" t="s">
        <v>268</v>
      </c>
      <c r="F7" s="395" t="s">
        <v>267</v>
      </c>
      <c r="G7" s="395" t="s">
        <v>268</v>
      </c>
      <c r="H7" s="395" t="s">
        <v>267</v>
      </c>
      <c r="I7" s="395" t="s">
        <v>268</v>
      </c>
      <c r="J7" s="395" t="s">
        <v>267</v>
      </c>
      <c r="K7" s="395" t="s">
        <v>268</v>
      </c>
      <c r="L7" s="395" t="s">
        <v>267</v>
      </c>
      <c r="M7" s="395" t="s">
        <v>268</v>
      </c>
      <c r="N7" s="395" t="s">
        <v>267</v>
      </c>
      <c r="O7" s="395" t="s">
        <v>268</v>
      </c>
      <c r="P7" s="395" t="s">
        <v>267</v>
      </c>
      <c r="Q7" s="395" t="s">
        <v>268</v>
      </c>
      <c r="R7" s="395" t="s">
        <v>267</v>
      </c>
      <c r="S7" s="395" t="s">
        <v>268</v>
      </c>
      <c r="T7" s="395" t="s">
        <v>267</v>
      </c>
      <c r="U7" s="395" t="s">
        <v>268</v>
      </c>
      <c r="V7" s="395" t="s">
        <v>267</v>
      </c>
      <c r="W7" s="395" t="s">
        <v>268</v>
      </c>
      <c r="X7" s="395" t="s">
        <v>267</v>
      </c>
      <c r="Y7" s="395" t="s">
        <v>268</v>
      </c>
      <c r="Z7" s="893"/>
    </row>
    <row r="8" spans="1:26" s="362" customFormat="1" ht="36" customHeight="1" thickBot="1">
      <c r="A8" s="898"/>
      <c r="B8" s="887" t="s">
        <v>269</v>
      </c>
      <c r="C8" s="887"/>
      <c r="D8" s="887" t="s">
        <v>274</v>
      </c>
      <c r="E8" s="887"/>
      <c r="F8" s="887" t="s">
        <v>275</v>
      </c>
      <c r="G8" s="887"/>
      <c r="H8" s="887" t="s">
        <v>276</v>
      </c>
      <c r="I8" s="887"/>
      <c r="J8" s="887" t="s">
        <v>277</v>
      </c>
      <c r="K8" s="887"/>
      <c r="L8" s="887" t="s">
        <v>278</v>
      </c>
      <c r="M8" s="887"/>
      <c r="N8" s="887" t="s">
        <v>279</v>
      </c>
      <c r="O8" s="887"/>
      <c r="P8" s="887" t="s">
        <v>280</v>
      </c>
      <c r="Q8" s="887"/>
      <c r="R8" s="887" t="s">
        <v>281</v>
      </c>
      <c r="S8" s="887"/>
      <c r="T8" s="887" t="s">
        <v>282</v>
      </c>
      <c r="U8" s="887"/>
      <c r="V8" s="887" t="s">
        <v>283</v>
      </c>
      <c r="W8" s="887"/>
      <c r="X8" s="887" t="s">
        <v>284</v>
      </c>
      <c r="Y8" s="887"/>
      <c r="Z8" s="894"/>
    </row>
    <row r="9" spans="1:26" s="378" customFormat="1" ht="40.5" customHeight="1" thickTop="1">
      <c r="A9" s="390" t="s">
        <v>271</v>
      </c>
      <c r="B9" s="406">
        <v>0</v>
      </c>
      <c r="C9" s="406">
        <v>0</v>
      </c>
      <c r="D9" s="406">
        <v>0</v>
      </c>
      <c r="E9" s="406">
        <v>0</v>
      </c>
      <c r="F9" s="406">
        <v>0</v>
      </c>
      <c r="G9" s="406">
        <v>0</v>
      </c>
      <c r="H9" s="396">
        <v>11</v>
      </c>
      <c r="I9" s="406">
        <v>0</v>
      </c>
      <c r="J9" s="428">
        <v>1</v>
      </c>
      <c r="K9" s="426">
        <v>1</v>
      </c>
      <c r="L9" s="396">
        <v>10</v>
      </c>
      <c r="M9" s="519" t="s">
        <v>132</v>
      </c>
      <c r="N9" s="396">
        <v>6</v>
      </c>
      <c r="O9" s="426">
        <v>1</v>
      </c>
      <c r="P9" s="396">
        <v>6</v>
      </c>
      <c r="Q9" s="426" t="s">
        <v>132</v>
      </c>
      <c r="R9" s="396">
        <v>1</v>
      </c>
      <c r="S9" s="426">
        <v>1</v>
      </c>
      <c r="T9" s="396">
        <v>1</v>
      </c>
      <c r="U9" s="396" t="s">
        <v>132</v>
      </c>
      <c r="V9" s="397"/>
      <c r="W9" s="397"/>
      <c r="X9" s="397"/>
      <c r="Y9" s="397"/>
      <c r="Z9" s="398"/>
    </row>
    <row r="10" spans="1:26" s="378" customFormat="1" ht="40.5" customHeight="1">
      <c r="A10" s="391" t="s">
        <v>272</v>
      </c>
      <c r="B10" s="407">
        <v>0</v>
      </c>
      <c r="C10" s="407">
        <v>0</v>
      </c>
      <c r="D10" s="406">
        <v>0</v>
      </c>
      <c r="E10" s="406">
        <v>0</v>
      </c>
      <c r="F10" s="406">
        <v>0</v>
      </c>
      <c r="G10" s="406">
        <v>0</v>
      </c>
      <c r="H10" s="399">
        <v>11</v>
      </c>
      <c r="I10" s="406">
        <v>0</v>
      </c>
      <c r="J10" s="428">
        <v>1</v>
      </c>
      <c r="K10" s="426">
        <v>1</v>
      </c>
      <c r="L10" s="399">
        <v>10</v>
      </c>
      <c r="M10" s="520" t="s">
        <v>132</v>
      </c>
      <c r="N10" s="399">
        <v>6</v>
      </c>
      <c r="O10" s="426">
        <v>1</v>
      </c>
      <c r="P10" s="399">
        <v>6</v>
      </c>
      <c r="Q10" s="426" t="s">
        <v>132</v>
      </c>
      <c r="R10" s="399">
        <v>1</v>
      </c>
      <c r="S10" s="426">
        <v>1</v>
      </c>
      <c r="T10" s="396">
        <v>1</v>
      </c>
      <c r="U10" s="396" t="s">
        <v>132</v>
      </c>
      <c r="V10" s="400"/>
      <c r="W10" s="400"/>
      <c r="X10" s="400"/>
      <c r="Y10" s="400"/>
      <c r="Z10" s="401"/>
    </row>
    <row r="11" spans="1:26" s="378" customFormat="1" ht="40.5" customHeight="1">
      <c r="A11" s="391" t="s">
        <v>11</v>
      </c>
      <c r="B11" s="407">
        <v>0</v>
      </c>
      <c r="C11" s="407">
        <v>0</v>
      </c>
      <c r="D11" s="406">
        <v>0</v>
      </c>
      <c r="E11" s="406">
        <v>0</v>
      </c>
      <c r="F11" s="406">
        <v>0</v>
      </c>
      <c r="G11" s="406">
        <v>0</v>
      </c>
      <c r="H11" s="399">
        <v>11</v>
      </c>
      <c r="I11" s="406">
        <v>0</v>
      </c>
      <c r="J11" s="428">
        <v>1</v>
      </c>
      <c r="K11" s="426">
        <v>1</v>
      </c>
      <c r="L11" s="399">
        <v>10</v>
      </c>
      <c r="M11" s="520" t="s">
        <v>132</v>
      </c>
      <c r="N11" s="399">
        <v>6</v>
      </c>
      <c r="O11" s="426">
        <v>1</v>
      </c>
      <c r="P11" s="399">
        <v>6</v>
      </c>
      <c r="Q11" s="426" t="s">
        <v>132</v>
      </c>
      <c r="R11" s="399">
        <v>1</v>
      </c>
      <c r="S11" s="426">
        <v>1</v>
      </c>
      <c r="T11" s="396">
        <v>1</v>
      </c>
      <c r="U11" s="396" t="s">
        <v>132</v>
      </c>
      <c r="V11" s="400"/>
      <c r="W11" s="400"/>
      <c r="X11" s="400"/>
      <c r="Y11" s="400"/>
      <c r="Z11" s="401"/>
    </row>
    <row r="12" spans="1:26" s="378" customFormat="1" ht="40.5" customHeight="1" thickBot="1">
      <c r="A12" s="392" t="s">
        <v>273</v>
      </c>
      <c r="B12" s="408">
        <v>0</v>
      </c>
      <c r="C12" s="408">
        <v>0</v>
      </c>
      <c r="D12" s="408">
        <v>0</v>
      </c>
      <c r="E12" s="408">
        <v>0</v>
      </c>
      <c r="F12" s="408">
        <v>0</v>
      </c>
      <c r="G12" s="408">
        <v>0</v>
      </c>
      <c r="H12" s="402">
        <v>11</v>
      </c>
      <c r="I12" s="408">
        <v>0</v>
      </c>
      <c r="J12" s="429">
        <v>1</v>
      </c>
      <c r="K12" s="427">
        <v>1</v>
      </c>
      <c r="L12" s="402">
        <v>10</v>
      </c>
      <c r="M12" s="521" t="s">
        <v>132</v>
      </c>
      <c r="N12" s="402">
        <v>6</v>
      </c>
      <c r="O12" s="427">
        <v>1</v>
      </c>
      <c r="P12" s="402">
        <v>6</v>
      </c>
      <c r="Q12" s="427" t="s">
        <v>132</v>
      </c>
      <c r="R12" s="402">
        <v>1</v>
      </c>
      <c r="S12" s="427">
        <v>1</v>
      </c>
      <c r="T12" s="740">
        <v>1</v>
      </c>
      <c r="U12" s="740" t="s">
        <v>132</v>
      </c>
      <c r="V12" s="403"/>
      <c r="W12" s="403"/>
      <c r="X12" s="403"/>
      <c r="Y12" s="403"/>
      <c r="Z12" s="404"/>
    </row>
    <row r="13" spans="1:26" s="378" customFormat="1" ht="40.5" customHeight="1">
      <c r="A13" s="432"/>
      <c r="B13" s="433"/>
      <c r="C13" s="433"/>
      <c r="D13" s="433"/>
      <c r="E13" s="433"/>
      <c r="F13" s="433"/>
      <c r="G13" s="433"/>
      <c r="H13" s="434"/>
      <c r="I13" s="433"/>
      <c r="J13" s="435"/>
      <c r="K13" s="436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</row>
    <row r="14" spans="1:26" ht="18">
      <c r="T14" s="888" t="s">
        <v>553</v>
      </c>
      <c r="U14" s="888"/>
      <c r="V14" s="888"/>
      <c r="W14" s="888"/>
    </row>
    <row r="15" spans="1:26" ht="3.75" customHeight="1">
      <c r="T15" s="405"/>
      <c r="U15" s="405"/>
      <c r="V15" s="405"/>
      <c r="W15" s="405"/>
    </row>
    <row r="16" spans="1:26" ht="18">
      <c r="T16" s="888" t="s">
        <v>197</v>
      </c>
      <c r="U16" s="888"/>
      <c r="V16" s="888"/>
      <c r="W16" s="888"/>
    </row>
    <row r="17" spans="20:23" ht="18">
      <c r="T17" s="888" t="s">
        <v>86</v>
      </c>
      <c r="U17" s="888"/>
      <c r="V17" s="888"/>
      <c r="W17" s="888"/>
    </row>
    <row r="18" spans="20:23" ht="18">
      <c r="T18" s="393"/>
      <c r="U18" s="393"/>
      <c r="V18" s="393"/>
      <c r="W18" s="393"/>
    </row>
    <row r="19" spans="20:23" ht="18">
      <c r="T19" s="393"/>
      <c r="U19" s="393"/>
      <c r="V19" s="393"/>
      <c r="W19" s="393"/>
    </row>
    <row r="20" spans="20:23" ht="18">
      <c r="T20" s="393"/>
      <c r="U20" s="393"/>
      <c r="V20" s="393"/>
      <c r="W20" s="393"/>
    </row>
    <row r="21" spans="20:23" ht="18">
      <c r="T21" s="889" t="s">
        <v>120</v>
      </c>
      <c r="U21" s="889"/>
      <c r="V21" s="889"/>
      <c r="W21" s="889"/>
    </row>
    <row r="22" spans="20:23" ht="18">
      <c r="T22" s="890" t="s">
        <v>198</v>
      </c>
      <c r="U22" s="890"/>
      <c r="V22" s="890"/>
      <c r="W22" s="890"/>
    </row>
  </sheetData>
  <mergeCells count="22">
    <mergeCell ref="X8:Y8"/>
    <mergeCell ref="B6:Y6"/>
    <mergeCell ref="Z6:Z8"/>
    <mergeCell ref="A1:Z1"/>
    <mergeCell ref="A2:Z2"/>
    <mergeCell ref="N8:O8"/>
    <mergeCell ref="P8:Q8"/>
    <mergeCell ref="R8:S8"/>
    <mergeCell ref="T8:U8"/>
    <mergeCell ref="D8:E8"/>
    <mergeCell ref="V8:W8"/>
    <mergeCell ref="A6:A8"/>
    <mergeCell ref="B8:C8"/>
    <mergeCell ref="F8:G8"/>
    <mergeCell ref="H8:I8"/>
    <mergeCell ref="J8:K8"/>
    <mergeCell ref="L8:M8"/>
    <mergeCell ref="T14:W14"/>
    <mergeCell ref="T21:W21"/>
    <mergeCell ref="T22:W22"/>
    <mergeCell ref="T17:W17"/>
    <mergeCell ref="T16:W16"/>
  </mergeCells>
  <pageMargins left="0.11811023622047245" right="0.11811023622047245" top="0.43307086614173229" bottom="0.35433070866141736" header="0.31496062992125984" footer="0.31496062992125984"/>
  <pageSetup paperSize="5" scale="70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Z21"/>
  <sheetViews>
    <sheetView workbookViewId="0">
      <selection activeCell="O13" sqref="O13"/>
    </sheetView>
  </sheetViews>
  <sheetFormatPr defaultRowHeight="15"/>
  <cols>
    <col min="1" max="1" width="19.7109375" customWidth="1"/>
    <col min="2" max="25" width="8.140625" customWidth="1"/>
  </cols>
  <sheetData>
    <row r="1" spans="1:26" s="389" customFormat="1" ht="27.75" customHeight="1">
      <c r="A1" s="895" t="s">
        <v>554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5"/>
      <c r="Z1" s="895"/>
    </row>
    <row r="2" spans="1:26" s="389" customFormat="1" ht="27.75" customHeight="1">
      <c r="A2" s="895" t="s">
        <v>263</v>
      </c>
      <c r="B2" s="895"/>
      <c r="C2" s="895"/>
      <c r="D2" s="895"/>
      <c r="E2" s="895"/>
      <c r="F2" s="895"/>
      <c r="G2" s="895"/>
      <c r="H2" s="895"/>
      <c r="I2" s="895"/>
      <c r="J2" s="895"/>
      <c r="K2" s="895"/>
      <c r="L2" s="895"/>
      <c r="M2" s="895"/>
      <c r="N2" s="895"/>
      <c r="O2" s="895"/>
      <c r="P2" s="895"/>
      <c r="Q2" s="895"/>
      <c r="R2" s="895"/>
      <c r="S2" s="895"/>
      <c r="T2" s="895"/>
      <c r="U2" s="895"/>
      <c r="V2" s="895"/>
      <c r="W2" s="895"/>
      <c r="X2" s="895"/>
      <c r="Y2" s="895"/>
      <c r="Z2" s="895"/>
    </row>
    <row r="3" spans="1:26" s="362" customFormat="1" ht="18.75">
      <c r="A3" s="393"/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</row>
    <row r="4" spans="1:26" s="362" customFormat="1" ht="18.75">
      <c r="A4" s="394" t="s">
        <v>264</v>
      </c>
      <c r="B4" s="394" t="s">
        <v>214</v>
      </c>
      <c r="C4" s="394"/>
      <c r="D4" s="394"/>
      <c r="E4" s="394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</row>
    <row r="5" spans="1:26" s="362" customFormat="1" ht="17.25" thickBot="1"/>
    <row r="6" spans="1:26" s="362" customFormat="1" ht="30" customHeight="1">
      <c r="A6" s="896" t="s">
        <v>265</v>
      </c>
      <c r="B6" s="891" t="s">
        <v>285</v>
      </c>
      <c r="C6" s="891"/>
      <c r="D6" s="891"/>
      <c r="E6" s="891"/>
      <c r="F6" s="891"/>
      <c r="G6" s="891"/>
      <c r="H6" s="891"/>
      <c r="I6" s="891"/>
      <c r="J6" s="891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2" t="s">
        <v>270</v>
      </c>
    </row>
    <row r="7" spans="1:26" s="362" customFormat="1" ht="25.5">
      <c r="A7" s="897"/>
      <c r="B7" s="395" t="s">
        <v>287</v>
      </c>
      <c r="C7" s="395" t="s">
        <v>268</v>
      </c>
      <c r="D7" s="395" t="s">
        <v>287</v>
      </c>
      <c r="E7" s="395" t="s">
        <v>268</v>
      </c>
      <c r="F7" s="395" t="s">
        <v>287</v>
      </c>
      <c r="G7" s="395" t="s">
        <v>268</v>
      </c>
      <c r="H7" s="395" t="s">
        <v>287</v>
      </c>
      <c r="I7" s="395" t="s">
        <v>268</v>
      </c>
      <c r="J7" s="395" t="s">
        <v>287</v>
      </c>
      <c r="K7" s="395" t="s">
        <v>268</v>
      </c>
      <c r="L7" s="395" t="s">
        <v>287</v>
      </c>
      <c r="M7" s="395" t="s">
        <v>268</v>
      </c>
      <c r="N7" s="395" t="s">
        <v>287</v>
      </c>
      <c r="O7" s="395" t="s">
        <v>268</v>
      </c>
      <c r="P7" s="395" t="s">
        <v>287</v>
      </c>
      <c r="Q7" s="395" t="s">
        <v>268</v>
      </c>
      <c r="R7" s="395" t="s">
        <v>287</v>
      </c>
      <c r="S7" s="395" t="s">
        <v>268</v>
      </c>
      <c r="T7" s="395" t="s">
        <v>287</v>
      </c>
      <c r="U7" s="395" t="s">
        <v>268</v>
      </c>
      <c r="V7" s="395" t="s">
        <v>287</v>
      </c>
      <c r="W7" s="395" t="s">
        <v>268</v>
      </c>
      <c r="X7" s="395" t="s">
        <v>287</v>
      </c>
      <c r="Y7" s="395" t="s">
        <v>268</v>
      </c>
      <c r="Z7" s="893"/>
    </row>
    <row r="8" spans="1:26" s="362" customFormat="1" ht="36" customHeight="1" thickBot="1">
      <c r="A8" s="898"/>
      <c r="B8" s="887" t="s">
        <v>269</v>
      </c>
      <c r="C8" s="887"/>
      <c r="D8" s="887" t="s">
        <v>274</v>
      </c>
      <c r="E8" s="887"/>
      <c r="F8" s="887" t="s">
        <v>275</v>
      </c>
      <c r="G8" s="887"/>
      <c r="H8" s="887" t="s">
        <v>276</v>
      </c>
      <c r="I8" s="887"/>
      <c r="J8" s="887" t="s">
        <v>277</v>
      </c>
      <c r="K8" s="887"/>
      <c r="L8" s="887" t="s">
        <v>278</v>
      </c>
      <c r="M8" s="887"/>
      <c r="N8" s="887" t="s">
        <v>279</v>
      </c>
      <c r="O8" s="887"/>
      <c r="P8" s="887" t="s">
        <v>280</v>
      </c>
      <c r="Q8" s="887"/>
      <c r="R8" s="887" t="s">
        <v>281</v>
      </c>
      <c r="S8" s="887"/>
      <c r="T8" s="887" t="s">
        <v>282</v>
      </c>
      <c r="U8" s="887"/>
      <c r="V8" s="887" t="s">
        <v>283</v>
      </c>
      <c r="W8" s="887"/>
      <c r="X8" s="887" t="s">
        <v>284</v>
      </c>
      <c r="Y8" s="887"/>
      <c r="Z8" s="894"/>
    </row>
    <row r="9" spans="1:26" s="378" customFormat="1" ht="50.25" customHeight="1" thickTop="1">
      <c r="A9" s="390" t="s">
        <v>286</v>
      </c>
      <c r="B9" s="412">
        <v>8.3333333333333329E-2</v>
      </c>
      <c r="C9" s="411">
        <v>3.78</v>
      </c>
      <c r="D9" s="412">
        <v>0.16666666666666666</v>
      </c>
      <c r="E9" s="411">
        <v>9.1999999999999993</v>
      </c>
      <c r="F9" s="410">
        <v>0.25</v>
      </c>
      <c r="G9" s="413">
        <v>13.75</v>
      </c>
      <c r="H9" s="412">
        <v>0.33333333333333331</v>
      </c>
      <c r="I9" s="411">
        <v>23.72</v>
      </c>
      <c r="J9" s="431">
        <v>34</v>
      </c>
      <c r="K9" s="431">
        <v>35.43</v>
      </c>
      <c r="L9" s="396" t="s">
        <v>484</v>
      </c>
      <c r="M9" s="396" t="s">
        <v>485</v>
      </c>
      <c r="N9" s="538">
        <v>50</v>
      </c>
      <c r="O9" s="396">
        <v>54.75</v>
      </c>
      <c r="P9" s="661">
        <v>65</v>
      </c>
      <c r="Q9" s="400">
        <v>59.93</v>
      </c>
      <c r="R9" s="661">
        <v>73</v>
      </c>
      <c r="S9" s="397">
        <v>64.83</v>
      </c>
      <c r="T9" s="661">
        <v>81</v>
      </c>
      <c r="U9" s="661">
        <v>72.75</v>
      </c>
      <c r="V9" s="397"/>
      <c r="W9" s="397"/>
      <c r="X9" s="397"/>
      <c r="Y9" s="397"/>
      <c r="Z9" s="398"/>
    </row>
    <row r="10" spans="1:26" s="378" customFormat="1" ht="50.25" customHeight="1">
      <c r="A10" s="391" t="s">
        <v>17</v>
      </c>
      <c r="B10" s="412">
        <v>8.3333333333333329E-2</v>
      </c>
      <c r="C10" s="411">
        <v>3.78</v>
      </c>
      <c r="D10" s="412">
        <v>0.16666666666666666</v>
      </c>
      <c r="E10" s="411">
        <v>9.1999999999999993</v>
      </c>
      <c r="F10" s="410">
        <v>0.25</v>
      </c>
      <c r="G10" s="413">
        <v>13.75</v>
      </c>
      <c r="H10" s="412">
        <v>0.33333333333333331</v>
      </c>
      <c r="I10" s="411">
        <v>23.72</v>
      </c>
      <c r="J10" s="430">
        <v>34</v>
      </c>
      <c r="K10" s="430">
        <v>35.43</v>
      </c>
      <c r="L10" s="399" t="s">
        <v>484</v>
      </c>
      <c r="M10" s="399" t="s">
        <v>485</v>
      </c>
      <c r="N10" s="539">
        <v>50</v>
      </c>
      <c r="O10" s="396">
        <v>54.75</v>
      </c>
      <c r="P10" s="661">
        <v>65</v>
      </c>
      <c r="Q10" s="400">
        <v>59.93</v>
      </c>
      <c r="R10" s="675">
        <v>73</v>
      </c>
      <c r="S10" s="400">
        <v>64.83</v>
      </c>
      <c r="T10" s="661">
        <v>81</v>
      </c>
      <c r="U10" s="661">
        <v>72.75</v>
      </c>
      <c r="V10" s="400"/>
      <c r="W10" s="400"/>
      <c r="X10" s="400"/>
      <c r="Y10" s="400"/>
      <c r="Z10" s="401"/>
    </row>
    <row r="13" spans="1:26" ht="18">
      <c r="T13" s="888" t="s">
        <v>553</v>
      </c>
      <c r="U13" s="888"/>
      <c r="V13" s="888"/>
      <c r="W13" s="888"/>
    </row>
    <row r="14" spans="1:26" ht="3.75" customHeight="1">
      <c r="T14" s="405"/>
      <c r="U14" s="405"/>
      <c r="V14" s="405"/>
      <c r="W14" s="405"/>
    </row>
    <row r="15" spans="1:26" ht="18">
      <c r="T15" s="888" t="s">
        <v>197</v>
      </c>
      <c r="U15" s="888"/>
      <c r="V15" s="888"/>
      <c r="W15" s="888"/>
    </row>
    <row r="16" spans="1:26" ht="18">
      <c r="T16" s="888" t="s">
        <v>86</v>
      </c>
      <c r="U16" s="888"/>
      <c r="V16" s="888"/>
      <c r="W16" s="888"/>
    </row>
    <row r="17" spans="20:23" ht="18">
      <c r="T17" s="393"/>
      <c r="U17" s="393"/>
      <c r="V17" s="393"/>
      <c r="W17" s="393"/>
    </row>
    <row r="18" spans="20:23" ht="18">
      <c r="T18" s="393"/>
      <c r="U18" s="393"/>
      <c r="V18" s="393"/>
      <c r="W18" s="393"/>
    </row>
    <row r="19" spans="20:23" ht="18">
      <c r="T19" s="393"/>
      <c r="U19" s="393"/>
      <c r="V19" s="393"/>
      <c r="W19" s="393"/>
    </row>
    <row r="20" spans="20:23" ht="18">
      <c r="T20" s="889" t="s">
        <v>120</v>
      </c>
      <c r="U20" s="889"/>
      <c r="V20" s="889"/>
      <c r="W20" s="889"/>
    </row>
    <row r="21" spans="20:23" ht="18">
      <c r="T21" s="890" t="s">
        <v>198</v>
      </c>
      <c r="U21" s="890"/>
      <c r="V21" s="890"/>
      <c r="W21" s="890"/>
    </row>
  </sheetData>
  <mergeCells count="22">
    <mergeCell ref="A1:Z1"/>
    <mergeCell ref="A2:Z2"/>
    <mergeCell ref="A6:A8"/>
    <mergeCell ref="B6:Y6"/>
    <mergeCell ref="Z6:Z8"/>
    <mergeCell ref="B8:C8"/>
    <mergeCell ref="D8:E8"/>
    <mergeCell ref="F8:G8"/>
    <mergeCell ref="H8:I8"/>
    <mergeCell ref="J8:K8"/>
    <mergeCell ref="X8:Y8"/>
    <mergeCell ref="T21:W21"/>
    <mergeCell ref="L8:M8"/>
    <mergeCell ref="N8:O8"/>
    <mergeCell ref="P8:Q8"/>
    <mergeCell ref="R8:S8"/>
    <mergeCell ref="T8:U8"/>
    <mergeCell ref="V8:W8"/>
    <mergeCell ref="T13:W13"/>
    <mergeCell ref="T15:W15"/>
    <mergeCell ref="T16:W16"/>
    <mergeCell ref="T20:W20"/>
  </mergeCells>
  <pageMargins left="0.18" right="0.70866141732283472" top="0.37" bottom="0.74803149606299213" header="0.31496062992125984" footer="0.31496062992125984"/>
  <pageSetup paperSize="5" scale="70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A2" sqref="A2:XFD2"/>
    </sheetView>
  </sheetViews>
  <sheetFormatPr defaultRowHeight="15"/>
  <cols>
    <col min="1" max="1" width="18.28515625" customWidth="1"/>
    <col min="2" max="15" width="13" customWidth="1"/>
  </cols>
  <sheetData>
    <row r="1" spans="1:15" s="389" customFormat="1" ht="27.75" customHeight="1">
      <c r="A1" s="895" t="s">
        <v>288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</row>
    <row r="2" spans="1:15" s="389" customFormat="1" ht="27.75" customHeight="1">
      <c r="A2" s="895" t="s">
        <v>263</v>
      </c>
      <c r="B2" s="895"/>
      <c r="C2" s="895"/>
      <c r="D2" s="895"/>
      <c r="E2" s="895"/>
      <c r="F2" s="895"/>
      <c r="G2" s="895"/>
      <c r="H2" s="895"/>
      <c r="I2" s="895"/>
      <c r="J2" s="895"/>
      <c r="K2" s="895"/>
      <c r="L2" s="895"/>
      <c r="M2" s="895"/>
      <c r="N2" s="895"/>
      <c r="O2" s="895"/>
    </row>
    <row r="3" spans="1:15" s="362" customFormat="1" ht="18.75">
      <c r="A3" s="393"/>
    </row>
    <row r="4" spans="1:15" s="362" customFormat="1" ht="18.75">
      <c r="A4" s="416" t="s">
        <v>264</v>
      </c>
      <c r="B4" s="416" t="s">
        <v>299</v>
      </c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</row>
    <row r="5" spans="1:15" s="362" customFormat="1" ht="17.25" thickBot="1"/>
    <row r="6" spans="1:15" s="362" customFormat="1" ht="30" customHeight="1">
      <c r="A6" s="906" t="s">
        <v>265</v>
      </c>
      <c r="B6" s="905" t="s">
        <v>291</v>
      </c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899" t="s">
        <v>300</v>
      </c>
      <c r="O6" s="900"/>
    </row>
    <row r="7" spans="1:15" s="362" customFormat="1" ht="36" customHeight="1">
      <c r="A7" s="907"/>
      <c r="B7" s="903" t="s">
        <v>294</v>
      </c>
      <c r="C7" s="903"/>
      <c r="D7" s="904" t="s">
        <v>295</v>
      </c>
      <c r="E7" s="904"/>
      <c r="F7" s="904" t="s">
        <v>301</v>
      </c>
      <c r="G7" s="904"/>
      <c r="H7" s="904" t="s">
        <v>296</v>
      </c>
      <c r="I7" s="904"/>
      <c r="J7" s="904" t="s">
        <v>297</v>
      </c>
      <c r="K7" s="904"/>
      <c r="L7" s="903" t="s">
        <v>298</v>
      </c>
      <c r="M7" s="903"/>
      <c r="N7" s="901"/>
      <c r="O7" s="902"/>
    </row>
    <row r="8" spans="1:15" s="362" customFormat="1" ht="19.5" customHeight="1" thickBot="1">
      <c r="A8" s="908"/>
      <c r="B8" s="415" t="s">
        <v>292</v>
      </c>
      <c r="C8" s="415" t="s">
        <v>293</v>
      </c>
      <c r="D8" s="415" t="s">
        <v>292</v>
      </c>
      <c r="E8" s="415" t="s">
        <v>293</v>
      </c>
      <c r="F8" s="415" t="s">
        <v>292</v>
      </c>
      <c r="G8" s="415" t="s">
        <v>293</v>
      </c>
      <c r="H8" s="415" t="s">
        <v>292</v>
      </c>
      <c r="I8" s="415" t="s">
        <v>293</v>
      </c>
      <c r="J8" s="415" t="s">
        <v>292</v>
      </c>
      <c r="K8" s="415" t="s">
        <v>293</v>
      </c>
      <c r="L8" s="415" t="s">
        <v>292</v>
      </c>
      <c r="M8" s="415" t="s">
        <v>293</v>
      </c>
      <c r="N8" s="414" t="s">
        <v>292</v>
      </c>
      <c r="O8" s="417" t="s">
        <v>293</v>
      </c>
    </row>
    <row r="9" spans="1:15" s="378" customFormat="1" ht="40.5" customHeight="1" thickTop="1">
      <c r="A9" s="421" t="s">
        <v>289</v>
      </c>
      <c r="B9" s="406">
        <v>0</v>
      </c>
      <c r="C9" s="406">
        <v>0</v>
      </c>
      <c r="D9" s="406">
        <v>0</v>
      </c>
      <c r="E9" s="406">
        <v>0</v>
      </c>
      <c r="F9" s="406">
        <v>0</v>
      </c>
      <c r="G9" s="406">
        <v>0</v>
      </c>
      <c r="H9" s="406">
        <v>0</v>
      </c>
      <c r="I9" s="406">
        <v>0</v>
      </c>
      <c r="J9" s="406">
        <v>0</v>
      </c>
      <c r="K9" s="406">
        <v>0</v>
      </c>
      <c r="L9" s="406">
        <v>0</v>
      </c>
      <c r="M9" s="406">
        <v>0</v>
      </c>
      <c r="N9" s="406">
        <v>0</v>
      </c>
      <c r="O9" s="418">
        <v>0</v>
      </c>
    </row>
    <row r="10" spans="1:15" s="378" customFormat="1" ht="40.5" customHeight="1">
      <c r="A10" s="422" t="s">
        <v>290</v>
      </c>
      <c r="B10" s="406">
        <v>0</v>
      </c>
      <c r="C10" s="406">
        <v>0</v>
      </c>
      <c r="D10" s="406">
        <v>0</v>
      </c>
      <c r="E10" s="406">
        <v>0</v>
      </c>
      <c r="F10" s="406">
        <v>0</v>
      </c>
      <c r="G10" s="406">
        <v>0</v>
      </c>
      <c r="H10" s="406">
        <v>0</v>
      </c>
      <c r="I10" s="406">
        <v>0</v>
      </c>
      <c r="J10" s="406">
        <v>0</v>
      </c>
      <c r="K10" s="406">
        <v>0</v>
      </c>
      <c r="L10" s="406">
        <v>0</v>
      </c>
      <c r="M10" s="406">
        <v>0</v>
      </c>
      <c r="N10" s="406">
        <v>0</v>
      </c>
      <c r="O10" s="418">
        <v>0</v>
      </c>
    </row>
    <row r="11" spans="1:15" s="378" customFormat="1" ht="40.5" customHeight="1">
      <c r="A11" s="422" t="s">
        <v>244</v>
      </c>
      <c r="B11" s="406">
        <v>0</v>
      </c>
      <c r="C11" s="406">
        <v>0</v>
      </c>
      <c r="D11" s="406">
        <v>0</v>
      </c>
      <c r="E11" s="406">
        <v>0</v>
      </c>
      <c r="F11" s="406">
        <v>0</v>
      </c>
      <c r="G11" s="406">
        <v>0</v>
      </c>
      <c r="H11" s="406">
        <v>0</v>
      </c>
      <c r="I11" s="406">
        <v>0</v>
      </c>
      <c r="J11" s="406">
        <v>0</v>
      </c>
      <c r="K11" s="406">
        <v>0</v>
      </c>
      <c r="L11" s="406">
        <v>0</v>
      </c>
      <c r="M11" s="406">
        <v>0</v>
      </c>
      <c r="N11" s="406">
        <v>0</v>
      </c>
      <c r="O11" s="418">
        <v>0</v>
      </c>
    </row>
    <row r="12" spans="1:15" s="378" customFormat="1" ht="40.5" customHeight="1" thickBot="1">
      <c r="A12" s="423" t="s">
        <v>245</v>
      </c>
      <c r="B12" s="406">
        <v>0</v>
      </c>
      <c r="C12" s="406">
        <v>0</v>
      </c>
      <c r="D12" s="406">
        <v>0</v>
      </c>
      <c r="E12" s="406">
        <v>0</v>
      </c>
      <c r="F12" s="406">
        <v>0</v>
      </c>
      <c r="G12" s="406">
        <v>0</v>
      </c>
      <c r="H12" s="406">
        <v>0</v>
      </c>
      <c r="I12" s="406">
        <v>0</v>
      </c>
      <c r="J12" s="406">
        <v>0</v>
      </c>
      <c r="K12" s="406">
        <v>0</v>
      </c>
      <c r="L12" s="406">
        <v>0</v>
      </c>
      <c r="M12" s="406">
        <v>0</v>
      </c>
      <c r="N12" s="406">
        <v>0</v>
      </c>
      <c r="O12" s="418">
        <v>0</v>
      </c>
    </row>
    <row r="13" spans="1:15" s="378" customFormat="1" ht="40.5" customHeight="1" thickTop="1" thickBot="1">
      <c r="A13" s="424" t="s">
        <v>45</v>
      </c>
      <c r="B13" s="419">
        <v>0</v>
      </c>
      <c r="C13" s="419">
        <v>0</v>
      </c>
      <c r="D13" s="419">
        <v>0</v>
      </c>
      <c r="E13" s="419">
        <v>0</v>
      </c>
      <c r="F13" s="419">
        <v>0</v>
      </c>
      <c r="G13" s="419">
        <v>0</v>
      </c>
      <c r="H13" s="419">
        <v>0</v>
      </c>
      <c r="I13" s="419">
        <v>0</v>
      </c>
      <c r="J13" s="419">
        <v>0</v>
      </c>
      <c r="K13" s="419">
        <v>0</v>
      </c>
      <c r="L13" s="419">
        <v>0</v>
      </c>
      <c r="M13" s="419">
        <v>0</v>
      </c>
      <c r="N13" s="419">
        <v>0</v>
      </c>
      <c r="O13" s="420">
        <v>0</v>
      </c>
    </row>
    <row r="16" spans="1:15" ht="18">
      <c r="K16" s="888" t="s">
        <v>492</v>
      </c>
      <c r="L16" s="888"/>
      <c r="M16" s="888"/>
      <c r="N16" s="888"/>
    </row>
    <row r="17" spans="11:14" ht="3.75" customHeight="1">
      <c r="K17" s="405"/>
      <c r="L17" s="405"/>
      <c r="M17" s="405"/>
      <c r="N17" s="405"/>
    </row>
    <row r="18" spans="11:14" ht="18">
      <c r="K18" s="888" t="s">
        <v>197</v>
      </c>
      <c r="L18" s="888"/>
      <c r="M18" s="888"/>
      <c r="N18" s="888"/>
    </row>
    <row r="19" spans="11:14" ht="18">
      <c r="K19" s="888" t="s">
        <v>86</v>
      </c>
      <c r="L19" s="888"/>
      <c r="M19" s="888"/>
      <c r="N19" s="888"/>
    </row>
    <row r="20" spans="11:14" ht="18">
      <c r="K20" s="393"/>
      <c r="L20" s="393"/>
      <c r="M20" s="393"/>
      <c r="N20" s="393"/>
    </row>
    <row r="21" spans="11:14" ht="18">
      <c r="K21" s="393"/>
      <c r="L21" s="393"/>
      <c r="M21" s="393"/>
      <c r="N21" s="393"/>
    </row>
    <row r="22" spans="11:14" ht="18">
      <c r="K22" s="393"/>
      <c r="L22" s="393"/>
      <c r="M22" s="393"/>
      <c r="N22" s="393"/>
    </row>
    <row r="23" spans="11:14" ht="18">
      <c r="K23" s="889" t="s">
        <v>120</v>
      </c>
      <c r="L23" s="889"/>
      <c r="M23" s="889"/>
      <c r="N23" s="889"/>
    </row>
    <row r="24" spans="11:14" ht="18">
      <c r="K24" s="890" t="s">
        <v>198</v>
      </c>
      <c r="L24" s="890"/>
      <c r="M24" s="890"/>
      <c r="N24" s="890"/>
    </row>
  </sheetData>
  <mergeCells count="16">
    <mergeCell ref="N6:O7"/>
    <mergeCell ref="A2:O2"/>
    <mergeCell ref="A1:O1"/>
    <mergeCell ref="B7:C7"/>
    <mergeCell ref="D7:E7"/>
    <mergeCell ref="F7:G7"/>
    <mergeCell ref="H7:I7"/>
    <mergeCell ref="J7:K7"/>
    <mergeCell ref="B6:M6"/>
    <mergeCell ref="L7:M7"/>
    <mergeCell ref="A6:A8"/>
    <mergeCell ref="K16:N16"/>
    <mergeCell ref="K18:N18"/>
    <mergeCell ref="K19:N19"/>
    <mergeCell ref="K23:N23"/>
    <mergeCell ref="K24:N24"/>
  </mergeCells>
  <pageMargins left="0.19685039370078741" right="0.70866141732283472" top="0.39370078740157483" bottom="0.31496062992125984" header="0.31496062992125984" footer="0.31496062992125984"/>
  <pageSetup paperSize="5" scale="80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J133"/>
  <sheetViews>
    <sheetView topLeftCell="A119" workbookViewId="0">
      <selection activeCell="J121" sqref="J121"/>
    </sheetView>
  </sheetViews>
  <sheetFormatPr defaultRowHeight="11.25"/>
  <cols>
    <col min="1" max="1" width="9.140625" style="438"/>
    <col min="2" max="3" width="0.140625" style="438" hidden="1" customWidth="1"/>
    <col min="4" max="4" width="3.7109375" style="438" customWidth="1"/>
    <col min="5" max="5" width="13.7109375" style="438" customWidth="1"/>
    <col min="6" max="6" width="12.85546875" style="438" customWidth="1"/>
    <col min="7" max="7" width="12.42578125" style="438" customWidth="1"/>
    <col min="8" max="8" width="25.5703125" style="438" customWidth="1"/>
    <col min="9" max="9" width="14.42578125" style="439" customWidth="1"/>
    <col min="10" max="10" width="17.28515625" style="438" customWidth="1"/>
    <col min="11" max="16384" width="9.140625" style="438"/>
  </cols>
  <sheetData>
    <row r="2" spans="2:9">
      <c r="E2" s="918" t="s">
        <v>303</v>
      </c>
      <c r="F2" s="918"/>
      <c r="G2" s="918"/>
      <c r="H2" s="918"/>
      <c r="I2" s="918"/>
    </row>
    <row r="3" spans="2:9">
      <c r="B3" s="918" t="s">
        <v>304</v>
      </c>
      <c r="C3" s="918"/>
      <c r="D3" s="918"/>
      <c r="E3" s="918"/>
      <c r="F3" s="918"/>
      <c r="G3" s="918"/>
      <c r="H3" s="918"/>
      <c r="I3" s="918"/>
    </row>
    <row r="5" spans="2:9" ht="22.5">
      <c r="B5" s="440"/>
      <c r="C5" s="440"/>
      <c r="D5" s="441" t="s">
        <v>3</v>
      </c>
      <c r="E5" s="442" t="s">
        <v>305</v>
      </c>
      <c r="F5" s="443" t="s">
        <v>306</v>
      </c>
      <c r="G5" s="443" t="s">
        <v>307</v>
      </c>
      <c r="H5" s="443" t="s">
        <v>308</v>
      </c>
      <c r="I5" s="444" t="s">
        <v>309</v>
      </c>
    </row>
    <row r="6" spans="2:9">
      <c r="B6" s="440"/>
      <c r="C6" s="440"/>
      <c r="D6" s="445">
        <v>1</v>
      </c>
      <c r="E6" s="446">
        <v>2</v>
      </c>
      <c r="F6" s="447">
        <v>3</v>
      </c>
      <c r="G6" s="447">
        <v>4</v>
      </c>
      <c r="H6" s="447">
        <v>5</v>
      </c>
      <c r="I6" s="448">
        <v>6</v>
      </c>
    </row>
    <row r="7" spans="2:9">
      <c r="B7" s="449" t="s">
        <v>310</v>
      </c>
      <c r="C7" s="449"/>
      <c r="D7" s="919" t="s">
        <v>311</v>
      </c>
      <c r="E7" s="920"/>
      <c r="F7" s="920"/>
      <c r="G7" s="921"/>
      <c r="H7" s="440"/>
      <c r="I7" s="450"/>
    </row>
    <row r="8" spans="2:9" ht="22.5">
      <c r="B8" s="451">
        <v>1</v>
      </c>
      <c r="C8" s="451"/>
      <c r="D8" s="451">
        <v>1</v>
      </c>
      <c r="E8" s="915" t="s">
        <v>312</v>
      </c>
      <c r="F8" s="915" t="s">
        <v>313</v>
      </c>
      <c r="G8" s="915" t="s">
        <v>314</v>
      </c>
      <c r="H8" s="452" t="s">
        <v>315</v>
      </c>
      <c r="I8" s="453">
        <f>SUM(I9:I19)</f>
        <v>144800</v>
      </c>
    </row>
    <row r="9" spans="2:9" ht="22.5">
      <c r="B9" s="454"/>
      <c r="C9" s="454"/>
      <c r="D9" s="454"/>
      <c r="E9" s="917"/>
      <c r="F9" s="917"/>
      <c r="G9" s="917"/>
      <c r="H9" s="455" t="s">
        <v>316</v>
      </c>
      <c r="I9" s="456">
        <v>6000</v>
      </c>
    </row>
    <row r="10" spans="2:9" ht="22.5">
      <c r="B10" s="454"/>
      <c r="C10" s="454"/>
      <c r="D10" s="454"/>
      <c r="E10" s="917"/>
      <c r="F10" s="917"/>
      <c r="G10" s="917"/>
      <c r="H10" s="455" t="s">
        <v>317</v>
      </c>
      <c r="I10" s="456">
        <v>25000</v>
      </c>
    </row>
    <row r="11" spans="2:9" ht="22.5">
      <c r="B11" s="454"/>
      <c r="C11" s="454"/>
      <c r="D11" s="454"/>
      <c r="E11" s="917"/>
      <c r="F11" s="917"/>
      <c r="G11" s="917"/>
      <c r="H11" s="455" t="s">
        <v>318</v>
      </c>
      <c r="I11" s="456">
        <v>9600</v>
      </c>
    </row>
    <row r="12" spans="2:9">
      <c r="B12" s="454"/>
      <c r="C12" s="454"/>
      <c r="D12" s="454"/>
      <c r="E12" s="917"/>
      <c r="F12" s="917"/>
      <c r="G12" s="917"/>
      <c r="H12" s="455" t="s">
        <v>319</v>
      </c>
      <c r="I12" s="456">
        <v>12000</v>
      </c>
    </row>
    <row r="13" spans="2:9" ht="22.5">
      <c r="B13" s="454"/>
      <c r="C13" s="454"/>
      <c r="D13" s="454"/>
      <c r="E13" s="917"/>
      <c r="F13" s="917"/>
      <c r="G13" s="917"/>
      <c r="H13" s="455" t="s">
        <v>320</v>
      </c>
      <c r="I13" s="456">
        <v>24000</v>
      </c>
    </row>
    <row r="14" spans="2:9" ht="33.75">
      <c r="B14" s="454" t="s">
        <v>227</v>
      </c>
      <c r="C14" s="454"/>
      <c r="D14" s="454"/>
      <c r="E14" s="917"/>
      <c r="F14" s="917"/>
      <c r="G14" s="917"/>
      <c r="H14" s="455" t="s">
        <v>321</v>
      </c>
      <c r="I14" s="456">
        <v>5000</v>
      </c>
    </row>
    <row r="15" spans="2:9" ht="22.5">
      <c r="B15" s="454"/>
      <c r="C15" s="454"/>
      <c r="D15" s="454"/>
      <c r="E15" s="917"/>
      <c r="F15" s="917"/>
      <c r="G15" s="917"/>
      <c r="H15" s="455" t="s">
        <v>322</v>
      </c>
      <c r="I15" s="456">
        <v>3000</v>
      </c>
    </row>
    <row r="16" spans="2:9" ht="33.75">
      <c r="B16" s="454" t="s">
        <v>227</v>
      </c>
      <c r="C16" s="454"/>
      <c r="D16" s="454"/>
      <c r="E16" s="917"/>
      <c r="F16" s="917"/>
      <c r="G16" s="917"/>
      <c r="H16" s="455" t="s">
        <v>323</v>
      </c>
      <c r="I16" s="456">
        <v>1200</v>
      </c>
    </row>
    <row r="17" spans="2:9" ht="22.5">
      <c r="B17" s="454"/>
      <c r="C17" s="454"/>
      <c r="D17" s="454"/>
      <c r="E17" s="917"/>
      <c r="F17" s="917"/>
      <c r="G17" s="917"/>
      <c r="H17" s="455" t="s">
        <v>324</v>
      </c>
      <c r="I17" s="456">
        <v>12000</v>
      </c>
    </row>
    <row r="18" spans="2:9" ht="33.75">
      <c r="B18" s="454"/>
      <c r="C18" s="454"/>
      <c r="D18" s="454"/>
      <c r="E18" s="917"/>
      <c r="F18" s="917"/>
      <c r="G18" s="917"/>
      <c r="H18" s="455" t="s">
        <v>325</v>
      </c>
      <c r="I18" s="456">
        <v>12000</v>
      </c>
    </row>
    <row r="19" spans="2:9" ht="22.5">
      <c r="B19" s="457"/>
      <c r="C19" s="457"/>
      <c r="D19" s="457"/>
      <c r="E19" s="916"/>
      <c r="F19" s="916"/>
      <c r="G19" s="916"/>
      <c r="H19" s="455" t="s">
        <v>326</v>
      </c>
      <c r="I19" s="456">
        <v>35000</v>
      </c>
    </row>
    <row r="20" spans="2:9" ht="33.75">
      <c r="B20" s="451"/>
      <c r="C20" s="451"/>
      <c r="D20" s="451"/>
      <c r="E20" s="915" t="s">
        <v>327</v>
      </c>
      <c r="F20" s="915" t="s">
        <v>328</v>
      </c>
      <c r="G20" s="915" t="s">
        <v>329</v>
      </c>
      <c r="H20" s="452" t="s">
        <v>330</v>
      </c>
      <c r="I20" s="458">
        <f>SUM(I21:I31)</f>
        <v>172150</v>
      </c>
    </row>
    <row r="21" spans="2:9" ht="22.5">
      <c r="B21" s="454"/>
      <c r="C21" s="454"/>
      <c r="D21" s="454"/>
      <c r="E21" s="917"/>
      <c r="F21" s="917"/>
      <c r="G21" s="917"/>
      <c r="H21" s="455" t="s">
        <v>331</v>
      </c>
      <c r="I21" s="456" t="s">
        <v>132</v>
      </c>
    </row>
    <row r="22" spans="2:9" ht="22.5">
      <c r="B22" s="454"/>
      <c r="C22" s="454"/>
      <c r="D22" s="454"/>
      <c r="E22" s="917"/>
      <c r="F22" s="917"/>
      <c r="G22" s="917"/>
      <c r="H22" s="459" t="s">
        <v>332</v>
      </c>
      <c r="I22" s="460">
        <v>30000</v>
      </c>
    </row>
    <row r="23" spans="2:9" ht="22.5">
      <c r="B23" s="454"/>
      <c r="C23" s="454"/>
      <c r="D23" s="454"/>
      <c r="E23" s="917"/>
      <c r="F23" s="917"/>
      <c r="G23" s="917"/>
      <c r="H23" s="455" t="s">
        <v>333</v>
      </c>
      <c r="I23" s="456">
        <v>16500</v>
      </c>
    </row>
    <row r="24" spans="2:9" ht="22.5">
      <c r="B24" s="454"/>
      <c r="C24" s="454"/>
      <c r="D24" s="454"/>
      <c r="E24" s="917"/>
      <c r="F24" s="917"/>
      <c r="G24" s="917"/>
      <c r="H24" s="455" t="s">
        <v>334</v>
      </c>
      <c r="I24" s="456">
        <v>15000</v>
      </c>
    </row>
    <row r="25" spans="2:9" ht="22.5">
      <c r="B25" s="454"/>
      <c r="C25" s="454"/>
      <c r="D25" s="454"/>
      <c r="E25" s="917"/>
      <c r="F25" s="917"/>
      <c r="G25" s="917"/>
      <c r="H25" s="455" t="s">
        <v>335</v>
      </c>
      <c r="I25" s="456">
        <v>30000</v>
      </c>
    </row>
    <row r="26" spans="2:9">
      <c r="B26" s="454"/>
      <c r="C26" s="454"/>
      <c r="D26" s="454"/>
      <c r="E26" s="917"/>
      <c r="F26" s="917"/>
      <c r="G26" s="917"/>
      <c r="H26" s="455" t="s">
        <v>336</v>
      </c>
      <c r="I26" s="456">
        <v>23500</v>
      </c>
    </row>
    <row r="27" spans="2:9" ht="33.75">
      <c r="B27" s="454"/>
      <c r="C27" s="454"/>
      <c r="D27" s="454"/>
      <c r="E27" s="917"/>
      <c r="F27" s="917"/>
      <c r="G27" s="917"/>
      <c r="H27" s="455" t="s">
        <v>337</v>
      </c>
      <c r="I27" s="456">
        <v>3500</v>
      </c>
    </row>
    <row r="28" spans="2:9" ht="22.5">
      <c r="B28" s="454"/>
      <c r="C28" s="454"/>
      <c r="D28" s="454"/>
      <c r="E28" s="917"/>
      <c r="F28" s="917"/>
      <c r="G28" s="917"/>
      <c r="H28" s="455" t="s">
        <v>338</v>
      </c>
      <c r="I28" s="456">
        <v>1650</v>
      </c>
    </row>
    <row r="29" spans="2:9" ht="22.5">
      <c r="B29" s="457"/>
      <c r="C29" s="457"/>
      <c r="D29" s="457"/>
      <c r="E29" s="916"/>
      <c r="F29" s="916"/>
      <c r="G29" s="916"/>
      <c r="H29" s="455" t="s">
        <v>339</v>
      </c>
      <c r="I29" s="456">
        <v>30000</v>
      </c>
    </row>
    <row r="30" spans="2:9" ht="22.5">
      <c r="B30" s="454"/>
      <c r="C30" s="454"/>
      <c r="D30" s="454"/>
      <c r="E30" s="461"/>
      <c r="F30" s="461"/>
      <c r="G30" s="462"/>
      <c r="H30" s="455" t="s">
        <v>340</v>
      </c>
      <c r="I30" s="456">
        <v>10000</v>
      </c>
    </row>
    <row r="31" spans="2:9" ht="22.5">
      <c r="B31" s="454"/>
      <c r="C31" s="454"/>
      <c r="D31" s="454"/>
      <c r="E31" s="461"/>
      <c r="F31" s="461"/>
      <c r="G31" s="462"/>
      <c r="H31" s="455" t="s">
        <v>341</v>
      </c>
      <c r="I31" s="456">
        <v>12000</v>
      </c>
    </row>
    <row r="32" spans="2:9" ht="45">
      <c r="B32" s="451"/>
      <c r="C32" s="451"/>
      <c r="D32" s="451"/>
      <c r="E32" s="915" t="s">
        <v>342</v>
      </c>
      <c r="F32" s="915" t="s">
        <v>343</v>
      </c>
      <c r="G32" s="463" t="s">
        <v>344</v>
      </c>
      <c r="H32" s="452" t="s">
        <v>206</v>
      </c>
      <c r="I32" s="458" t="s">
        <v>132</v>
      </c>
    </row>
    <row r="33" spans="2:9" ht="33.75">
      <c r="B33" s="454"/>
      <c r="C33" s="454"/>
      <c r="D33" s="454"/>
      <c r="E33" s="917"/>
      <c r="F33" s="916"/>
      <c r="G33" s="463" t="s">
        <v>345</v>
      </c>
      <c r="H33" s="455" t="s">
        <v>346</v>
      </c>
      <c r="I33" s="464" t="s">
        <v>132</v>
      </c>
    </row>
    <row r="34" spans="2:9" ht="22.5">
      <c r="B34" s="454"/>
      <c r="C34" s="454"/>
      <c r="D34" s="454"/>
      <c r="E34" s="917"/>
      <c r="F34" s="915" t="s">
        <v>347</v>
      </c>
      <c r="G34" s="915" t="s">
        <v>348</v>
      </c>
      <c r="H34" s="455" t="s">
        <v>205</v>
      </c>
      <c r="I34" s="464" t="s">
        <v>132</v>
      </c>
    </row>
    <row r="35" spans="2:9" ht="22.5">
      <c r="B35" s="457"/>
      <c r="C35" s="457"/>
      <c r="D35" s="457"/>
      <c r="E35" s="916"/>
      <c r="F35" s="916"/>
      <c r="G35" s="916"/>
      <c r="H35" s="455" t="s">
        <v>349</v>
      </c>
      <c r="I35" s="464" t="s">
        <v>132</v>
      </c>
    </row>
    <row r="36" spans="2:9" ht="56.25">
      <c r="B36" s="454"/>
      <c r="C36" s="454"/>
      <c r="D36" s="454"/>
      <c r="E36" s="461" t="s">
        <v>350</v>
      </c>
      <c r="F36" s="462" t="s">
        <v>351</v>
      </c>
      <c r="G36" s="462" t="s">
        <v>352</v>
      </c>
      <c r="H36" s="452" t="s">
        <v>353</v>
      </c>
      <c r="I36" s="458">
        <f>SUM(I37:I38)</f>
        <v>133300</v>
      </c>
    </row>
    <row r="37" spans="2:9" ht="56.25">
      <c r="B37" s="454"/>
      <c r="C37" s="454"/>
      <c r="D37" s="457"/>
      <c r="E37" s="462"/>
      <c r="F37" s="462" t="s">
        <v>351</v>
      </c>
      <c r="G37" s="462" t="s">
        <v>352</v>
      </c>
      <c r="H37" s="455" t="s">
        <v>354</v>
      </c>
      <c r="I37" s="464">
        <v>130000</v>
      </c>
    </row>
    <row r="38" spans="2:9" ht="22.5">
      <c r="B38" s="454"/>
      <c r="C38" s="454"/>
      <c r="D38" s="465"/>
      <c r="E38" s="466"/>
      <c r="F38" s="466"/>
      <c r="G38" s="466"/>
      <c r="H38" s="455" t="s">
        <v>355</v>
      </c>
      <c r="I38" s="464">
        <v>3300</v>
      </c>
    </row>
    <row r="39" spans="2:9" ht="78.75">
      <c r="B39" s="451"/>
      <c r="C39" s="451"/>
      <c r="D39" s="451"/>
      <c r="E39" s="915" t="s">
        <v>356</v>
      </c>
      <c r="F39" s="463" t="s">
        <v>357</v>
      </c>
      <c r="G39" s="463" t="s">
        <v>358</v>
      </c>
      <c r="H39" s="441" t="s">
        <v>359</v>
      </c>
      <c r="I39" s="458">
        <f>SUM(I40)</f>
        <v>15000</v>
      </c>
    </row>
    <row r="40" spans="2:9" ht="78.75">
      <c r="B40" s="457"/>
      <c r="C40" s="457"/>
      <c r="D40" s="457"/>
      <c r="E40" s="916"/>
      <c r="F40" s="463" t="s">
        <v>360</v>
      </c>
      <c r="G40" s="463" t="s">
        <v>361</v>
      </c>
      <c r="H40" s="455" t="s">
        <v>362</v>
      </c>
      <c r="I40" s="464">
        <v>15000</v>
      </c>
    </row>
    <row r="41" spans="2:9" ht="56.25">
      <c r="B41" s="451"/>
      <c r="C41" s="451"/>
      <c r="D41" s="451"/>
      <c r="E41" s="915" t="s">
        <v>363</v>
      </c>
      <c r="F41" s="463" t="s">
        <v>364</v>
      </c>
      <c r="G41" s="463" t="s">
        <v>365</v>
      </c>
      <c r="H41" s="452" t="s">
        <v>366</v>
      </c>
      <c r="I41" s="458">
        <f>I45</f>
        <v>15000</v>
      </c>
    </row>
    <row r="42" spans="2:9" ht="33.75">
      <c r="B42" s="454"/>
      <c r="C42" s="454"/>
      <c r="D42" s="454"/>
      <c r="E42" s="917"/>
      <c r="F42" s="915" t="s">
        <v>367</v>
      </c>
      <c r="G42" s="915" t="s">
        <v>368</v>
      </c>
      <c r="H42" s="455" t="s">
        <v>369</v>
      </c>
      <c r="I42" s="464" t="s">
        <v>132</v>
      </c>
    </row>
    <row r="43" spans="2:9" ht="22.5">
      <c r="B43" s="467"/>
      <c r="C43" s="467"/>
      <c r="D43" s="467"/>
      <c r="E43" s="917"/>
      <c r="F43" s="916"/>
      <c r="G43" s="916"/>
      <c r="H43" s="455" t="s">
        <v>370</v>
      </c>
      <c r="I43" s="464" t="s">
        <v>132</v>
      </c>
    </row>
    <row r="44" spans="2:9" ht="22.5">
      <c r="B44" s="467"/>
      <c r="C44" s="467"/>
      <c r="D44" s="467"/>
      <c r="E44" s="917"/>
      <c r="F44" s="915" t="s">
        <v>371</v>
      </c>
      <c r="G44" s="915" t="s">
        <v>372</v>
      </c>
      <c r="H44" s="452" t="s">
        <v>373</v>
      </c>
      <c r="I44" s="456"/>
    </row>
    <row r="45" spans="2:9" ht="22.5">
      <c r="B45" s="467"/>
      <c r="C45" s="467"/>
      <c r="D45" s="468"/>
      <c r="E45" s="916"/>
      <c r="F45" s="916"/>
      <c r="G45" s="916"/>
      <c r="H45" s="455" t="s">
        <v>374</v>
      </c>
      <c r="I45" s="464">
        <v>15000</v>
      </c>
    </row>
    <row r="46" spans="2:9">
      <c r="B46" s="469"/>
      <c r="C46" s="469"/>
      <c r="D46" s="440"/>
      <c r="E46" s="470" t="s">
        <v>375</v>
      </c>
      <c r="F46" s="471"/>
      <c r="G46" s="455"/>
      <c r="H46" s="455"/>
      <c r="I46" s="472"/>
    </row>
    <row r="47" spans="2:9" ht="45">
      <c r="B47" s="473"/>
      <c r="C47" s="473"/>
      <c r="D47" s="473"/>
      <c r="E47" s="909" t="s">
        <v>376</v>
      </c>
      <c r="F47" s="909" t="s">
        <v>377</v>
      </c>
      <c r="G47" s="909" t="s">
        <v>378</v>
      </c>
      <c r="H47" s="452" t="s">
        <v>379</v>
      </c>
      <c r="I47" s="458">
        <f>SUM(I48)</f>
        <v>25000</v>
      </c>
    </row>
    <row r="48" spans="2:9" ht="33.75">
      <c r="B48" s="469"/>
      <c r="C48" s="469"/>
      <c r="D48" s="469"/>
      <c r="E48" s="914"/>
      <c r="F48" s="914"/>
      <c r="G48" s="914"/>
      <c r="H48" s="455" t="s">
        <v>380</v>
      </c>
      <c r="I48" s="464">
        <v>25000</v>
      </c>
    </row>
    <row r="49" spans="2:10" ht="33.75">
      <c r="B49" s="473"/>
      <c r="C49" s="473"/>
      <c r="D49" s="473"/>
      <c r="E49" s="909" t="s">
        <v>381</v>
      </c>
      <c r="F49" s="909" t="s">
        <v>382</v>
      </c>
      <c r="G49" s="909" t="s">
        <v>383</v>
      </c>
      <c r="H49" s="452" t="s">
        <v>384</v>
      </c>
      <c r="I49" s="474">
        <f>SUM(I50:I51)</f>
        <v>22500</v>
      </c>
    </row>
    <row r="50" spans="2:10" ht="22.5">
      <c r="B50" s="475"/>
      <c r="C50" s="475"/>
      <c r="D50" s="475"/>
      <c r="E50" s="910"/>
      <c r="F50" s="910"/>
      <c r="G50" s="910"/>
      <c r="H50" s="455" t="s">
        <v>385</v>
      </c>
      <c r="I50" s="464">
        <v>2500</v>
      </c>
    </row>
    <row r="51" spans="2:10">
      <c r="B51" s="475"/>
      <c r="C51" s="475"/>
      <c r="D51" s="475"/>
      <c r="E51" s="910"/>
      <c r="F51" s="910"/>
      <c r="G51" s="910"/>
      <c r="H51" s="455" t="s">
        <v>386</v>
      </c>
      <c r="I51" s="464">
        <v>20000</v>
      </c>
    </row>
    <row r="52" spans="2:10" ht="33.75">
      <c r="B52" s="475"/>
      <c r="C52" s="475"/>
      <c r="D52" s="475"/>
      <c r="E52" s="910"/>
      <c r="F52" s="909" t="s">
        <v>387</v>
      </c>
      <c r="G52" s="909" t="s">
        <v>388</v>
      </c>
      <c r="H52" s="452" t="s">
        <v>389</v>
      </c>
      <c r="I52" s="458">
        <f>SUM(I53:I59)</f>
        <v>5000</v>
      </c>
    </row>
    <row r="53" spans="2:10" ht="33.75">
      <c r="B53" s="475"/>
      <c r="C53" s="475"/>
      <c r="D53" s="475"/>
      <c r="E53" s="910"/>
      <c r="F53" s="910"/>
      <c r="G53" s="910"/>
      <c r="H53" s="476" t="s">
        <v>390</v>
      </c>
      <c r="I53" s="464">
        <v>2500</v>
      </c>
    </row>
    <row r="54" spans="2:10" ht="33.75">
      <c r="B54" s="475"/>
      <c r="C54" s="475"/>
      <c r="D54" s="475"/>
      <c r="E54" s="910"/>
      <c r="F54" s="910"/>
      <c r="G54" s="910"/>
      <c r="H54" s="476" t="s">
        <v>391</v>
      </c>
      <c r="I54" s="464">
        <v>2500</v>
      </c>
    </row>
    <row r="55" spans="2:10" ht="45">
      <c r="B55" s="475"/>
      <c r="C55" s="475"/>
      <c r="D55" s="475"/>
      <c r="E55" s="910"/>
      <c r="F55" s="910"/>
      <c r="G55" s="910"/>
      <c r="H55" s="476" t="s">
        <v>392</v>
      </c>
      <c r="I55" s="464">
        <v>0</v>
      </c>
    </row>
    <row r="56" spans="2:10" ht="22.5">
      <c r="B56" s="475"/>
      <c r="C56" s="475"/>
      <c r="D56" s="475"/>
      <c r="E56" s="477"/>
      <c r="F56" s="477"/>
      <c r="G56" s="477"/>
      <c r="H56" s="476" t="s">
        <v>393</v>
      </c>
      <c r="I56" s="464" t="s">
        <v>132</v>
      </c>
    </row>
    <row r="57" spans="2:10">
      <c r="B57" s="475"/>
      <c r="C57" s="475"/>
      <c r="D57" s="475"/>
      <c r="E57" s="477"/>
      <c r="F57" s="477"/>
      <c r="G57" s="477"/>
      <c r="H57" s="476" t="s">
        <v>394</v>
      </c>
      <c r="I57" s="464" t="s">
        <v>132</v>
      </c>
    </row>
    <row r="58" spans="2:10">
      <c r="B58" s="475"/>
      <c r="C58" s="475"/>
      <c r="D58" s="475"/>
      <c r="E58" s="477"/>
      <c r="F58" s="477"/>
      <c r="G58" s="477"/>
      <c r="H58" s="476" t="s">
        <v>395</v>
      </c>
      <c r="I58" s="464" t="s">
        <v>132</v>
      </c>
    </row>
    <row r="59" spans="2:10">
      <c r="B59" s="475"/>
      <c r="C59" s="475"/>
      <c r="D59" s="469"/>
      <c r="E59" s="478"/>
      <c r="F59" s="478"/>
      <c r="G59" s="478"/>
      <c r="H59" s="476" t="s">
        <v>396</v>
      </c>
      <c r="I59" s="464" t="s">
        <v>132</v>
      </c>
    </row>
    <row r="60" spans="2:10">
      <c r="B60" s="469"/>
      <c r="C60" s="469"/>
      <c r="D60" s="469"/>
      <c r="E60" s="479" t="s">
        <v>397</v>
      </c>
      <c r="F60" s="480"/>
      <c r="G60" s="459"/>
      <c r="H60" s="457"/>
      <c r="I60" s="481"/>
      <c r="J60" s="482" t="s">
        <v>398</v>
      </c>
    </row>
    <row r="61" spans="2:10" ht="22.5">
      <c r="B61" s="473"/>
      <c r="C61" s="473"/>
      <c r="D61" s="473"/>
      <c r="E61" s="909" t="s">
        <v>399</v>
      </c>
      <c r="F61" s="909" t="s">
        <v>400</v>
      </c>
      <c r="G61" s="909" t="s">
        <v>401</v>
      </c>
      <c r="H61" s="452" t="s">
        <v>402</v>
      </c>
      <c r="I61" s="458">
        <f>+I62</f>
        <v>10000</v>
      </c>
      <c r="J61" s="482"/>
    </row>
    <row r="62" spans="2:10">
      <c r="B62" s="475"/>
      <c r="C62" s="475"/>
      <c r="D62" s="475"/>
      <c r="E62" s="910"/>
      <c r="F62" s="914"/>
      <c r="G62" s="914"/>
      <c r="H62" s="471" t="s">
        <v>403</v>
      </c>
      <c r="I62" s="464">
        <v>10000</v>
      </c>
      <c r="J62" s="482"/>
    </row>
    <row r="63" spans="2:10" ht="45">
      <c r="B63" s="475"/>
      <c r="C63" s="475"/>
      <c r="D63" s="475"/>
      <c r="E63" s="910"/>
      <c r="F63" s="909" t="s">
        <v>404</v>
      </c>
      <c r="G63" s="909" t="s">
        <v>405</v>
      </c>
      <c r="H63" s="483" t="s">
        <v>406</v>
      </c>
      <c r="I63" s="458">
        <f>SUM(I64:I66)</f>
        <v>47373</v>
      </c>
      <c r="J63" s="482"/>
    </row>
    <row r="64" spans="2:10" ht="22.5">
      <c r="B64" s="475"/>
      <c r="C64" s="475"/>
      <c r="D64" s="475"/>
      <c r="E64" s="910"/>
      <c r="F64" s="910"/>
      <c r="G64" s="910"/>
      <c r="H64" s="484" t="s">
        <v>407</v>
      </c>
      <c r="I64" s="464">
        <v>34953</v>
      </c>
      <c r="J64" s="482"/>
    </row>
    <row r="65" spans="2:10" ht="22.5">
      <c r="B65" s="475"/>
      <c r="C65" s="475"/>
      <c r="D65" s="475"/>
      <c r="E65" s="910"/>
      <c r="F65" s="910"/>
      <c r="G65" s="910"/>
      <c r="H65" s="455" t="s">
        <v>408</v>
      </c>
      <c r="I65" s="464">
        <v>3000</v>
      </c>
      <c r="J65" s="482"/>
    </row>
    <row r="66" spans="2:10" ht="22.5">
      <c r="B66" s="475"/>
      <c r="C66" s="475"/>
      <c r="D66" s="475"/>
      <c r="E66" s="910"/>
      <c r="F66" s="910"/>
      <c r="G66" s="910"/>
      <c r="H66" s="459" t="s">
        <v>409</v>
      </c>
      <c r="I66" s="460">
        <v>9420</v>
      </c>
      <c r="J66" s="482"/>
    </row>
    <row r="67" spans="2:10" ht="45">
      <c r="B67" s="475"/>
      <c r="C67" s="475"/>
      <c r="D67" s="475"/>
      <c r="E67" s="910"/>
      <c r="F67" s="910"/>
      <c r="G67" s="910"/>
      <c r="H67" s="483" t="s">
        <v>406</v>
      </c>
      <c r="I67" s="456" t="s">
        <v>132</v>
      </c>
      <c r="J67" s="482"/>
    </row>
    <row r="68" spans="2:10" ht="22.5">
      <c r="B68" s="469"/>
      <c r="C68" s="469"/>
      <c r="D68" s="469"/>
      <c r="E68" s="914"/>
      <c r="F68" s="914"/>
      <c r="G68" s="914"/>
      <c r="H68" s="455" t="s">
        <v>410</v>
      </c>
      <c r="I68" s="464" t="s">
        <v>132</v>
      </c>
      <c r="J68" s="482"/>
    </row>
    <row r="69" spans="2:10" ht="33.75">
      <c r="B69" s="473"/>
      <c r="C69" s="473"/>
      <c r="D69" s="473"/>
      <c r="E69" s="909" t="s">
        <v>411</v>
      </c>
      <c r="F69" s="909" t="s">
        <v>412</v>
      </c>
      <c r="G69" s="909" t="s">
        <v>413</v>
      </c>
      <c r="H69" s="452" t="s">
        <v>414</v>
      </c>
      <c r="I69" s="456" t="s">
        <v>132</v>
      </c>
      <c r="J69" s="482"/>
    </row>
    <row r="70" spans="2:10" ht="22.5">
      <c r="B70" s="475"/>
      <c r="C70" s="475"/>
      <c r="D70" s="475"/>
      <c r="E70" s="910"/>
      <c r="F70" s="910"/>
      <c r="G70" s="910"/>
      <c r="H70" s="463" t="s">
        <v>415</v>
      </c>
      <c r="I70" s="485" t="s">
        <v>132</v>
      </c>
      <c r="J70" s="482"/>
    </row>
    <row r="71" spans="2:10" ht="33.75">
      <c r="B71" s="475"/>
      <c r="C71" s="475"/>
      <c r="D71" s="475"/>
      <c r="E71" s="910"/>
      <c r="F71" s="910"/>
      <c r="G71" s="910"/>
      <c r="H71" s="486" t="s">
        <v>416</v>
      </c>
      <c r="I71" s="487">
        <f>SUM(I72:I74)</f>
        <v>24000</v>
      </c>
      <c r="J71" s="482"/>
    </row>
    <row r="72" spans="2:10" ht="33.75">
      <c r="B72" s="475"/>
      <c r="C72" s="475"/>
      <c r="D72" s="475"/>
      <c r="E72" s="910"/>
      <c r="F72" s="910"/>
      <c r="G72" s="910"/>
      <c r="H72" s="476" t="s">
        <v>131</v>
      </c>
      <c r="I72" s="485">
        <v>24000</v>
      </c>
      <c r="J72" s="482"/>
    </row>
    <row r="73" spans="2:10" ht="22.5">
      <c r="B73" s="475"/>
      <c r="C73" s="475"/>
      <c r="D73" s="475"/>
      <c r="E73" s="910"/>
      <c r="F73" s="910"/>
      <c r="G73" s="910"/>
      <c r="H73" s="476" t="s">
        <v>417</v>
      </c>
      <c r="I73" s="485" t="s">
        <v>132</v>
      </c>
      <c r="J73" s="482"/>
    </row>
    <row r="74" spans="2:10">
      <c r="B74" s="475"/>
      <c r="C74" s="475"/>
      <c r="D74" s="475"/>
      <c r="E74" s="910"/>
      <c r="F74" s="910"/>
      <c r="G74" s="910"/>
      <c r="H74" s="455" t="s">
        <v>418</v>
      </c>
      <c r="I74" s="485" t="s">
        <v>132</v>
      </c>
      <c r="J74" s="482"/>
    </row>
    <row r="75" spans="2:10" ht="33.75">
      <c r="B75" s="475"/>
      <c r="C75" s="475"/>
      <c r="D75" s="475"/>
      <c r="E75" s="910"/>
      <c r="F75" s="910"/>
      <c r="G75" s="910"/>
      <c r="H75" s="488" t="s">
        <v>414</v>
      </c>
      <c r="I75" s="489">
        <f>SUM(I76:I77)</f>
        <v>18000</v>
      </c>
      <c r="J75" s="482"/>
    </row>
    <row r="76" spans="2:10" ht="33.75">
      <c r="B76" s="475"/>
      <c r="C76" s="475"/>
      <c r="D76" s="475"/>
      <c r="E76" s="910"/>
      <c r="F76" s="910"/>
      <c r="G76" s="910"/>
      <c r="H76" s="459" t="s">
        <v>419</v>
      </c>
      <c r="I76" s="490">
        <v>3000</v>
      </c>
      <c r="J76" s="482"/>
    </row>
    <row r="77" spans="2:10" ht="33.75">
      <c r="B77" s="475"/>
      <c r="C77" s="475"/>
      <c r="D77" s="475"/>
      <c r="E77" s="910"/>
      <c r="F77" s="910"/>
      <c r="G77" s="910"/>
      <c r="H77" s="459" t="s">
        <v>420</v>
      </c>
      <c r="I77" s="490">
        <v>15000</v>
      </c>
      <c r="J77" s="482"/>
    </row>
    <row r="78" spans="2:10" ht="45">
      <c r="B78" s="475"/>
      <c r="C78" s="475"/>
      <c r="D78" s="475"/>
      <c r="E78" s="910"/>
      <c r="F78" s="910"/>
      <c r="G78" s="910"/>
      <c r="H78" s="488" t="s">
        <v>421</v>
      </c>
      <c r="I78" s="489">
        <f>SUM(I79:I80)</f>
        <v>34000</v>
      </c>
      <c r="J78" s="482"/>
    </row>
    <row r="79" spans="2:10" ht="22.5">
      <c r="B79" s="469"/>
      <c r="C79" s="475"/>
      <c r="D79" s="475"/>
      <c r="E79" s="910"/>
      <c r="F79" s="910"/>
      <c r="G79" s="910"/>
      <c r="H79" s="455" t="s">
        <v>422</v>
      </c>
      <c r="I79" s="485">
        <v>20000</v>
      </c>
      <c r="J79" s="482"/>
    </row>
    <row r="80" spans="2:10" ht="33.75">
      <c r="B80" s="475"/>
      <c r="C80" s="475"/>
      <c r="D80" s="475"/>
      <c r="E80" s="477"/>
      <c r="F80" s="477"/>
      <c r="G80" s="477"/>
      <c r="H80" s="455" t="s">
        <v>423</v>
      </c>
      <c r="I80" s="485">
        <v>14000</v>
      </c>
      <c r="J80" s="482"/>
    </row>
    <row r="81" spans="2:9" ht="33.75">
      <c r="B81" s="473"/>
      <c r="C81" s="473"/>
      <c r="D81" s="473"/>
      <c r="E81" s="909" t="s">
        <v>424</v>
      </c>
      <c r="F81" s="909" t="s">
        <v>425</v>
      </c>
      <c r="G81" s="909" t="s">
        <v>426</v>
      </c>
      <c r="H81" s="452" t="s">
        <v>427</v>
      </c>
      <c r="I81" s="456" t="s">
        <v>132</v>
      </c>
    </row>
    <row r="82" spans="2:9" ht="22.5">
      <c r="B82" s="469"/>
      <c r="C82" s="469"/>
      <c r="D82" s="469"/>
      <c r="E82" s="914"/>
      <c r="F82" s="914"/>
      <c r="G82" s="914"/>
      <c r="H82" s="455" t="s">
        <v>428</v>
      </c>
      <c r="I82" s="485" t="s">
        <v>132</v>
      </c>
    </row>
    <row r="83" spans="2:9">
      <c r="B83" s="440"/>
      <c r="C83" s="440"/>
      <c r="D83" s="440"/>
      <c r="E83" s="470" t="s">
        <v>429</v>
      </c>
      <c r="F83" s="471"/>
      <c r="G83" s="491"/>
      <c r="H83" s="440"/>
      <c r="I83" s="492"/>
    </row>
    <row r="84" spans="2:9" ht="33.75">
      <c r="B84" s="473"/>
      <c r="C84" s="473"/>
      <c r="D84" s="473"/>
      <c r="E84" s="909" t="s">
        <v>430</v>
      </c>
      <c r="F84" s="909" t="s">
        <v>431</v>
      </c>
      <c r="G84" s="909" t="s">
        <v>432</v>
      </c>
      <c r="H84" s="452" t="s">
        <v>433</v>
      </c>
      <c r="I84" s="493">
        <f>SUM(I85:I87)</f>
        <v>20000</v>
      </c>
    </row>
    <row r="85" spans="2:9" ht="22.5">
      <c r="B85" s="475"/>
      <c r="C85" s="475"/>
      <c r="D85" s="475"/>
      <c r="E85" s="910"/>
      <c r="F85" s="910"/>
      <c r="G85" s="910"/>
      <c r="H85" s="494" t="s">
        <v>103</v>
      </c>
      <c r="I85" s="485">
        <v>10000</v>
      </c>
    </row>
    <row r="86" spans="2:9" ht="33.75">
      <c r="B86" s="475"/>
      <c r="C86" s="475"/>
      <c r="D86" s="475"/>
      <c r="E86" s="910"/>
      <c r="F86" s="910"/>
      <c r="G86" s="910"/>
      <c r="H86" s="494" t="s">
        <v>434</v>
      </c>
      <c r="I86" s="490">
        <v>10000</v>
      </c>
    </row>
    <row r="87" spans="2:9">
      <c r="B87" s="469"/>
      <c r="C87" s="469"/>
      <c r="D87" s="469"/>
      <c r="E87" s="914"/>
      <c r="F87" s="914"/>
      <c r="G87" s="914"/>
      <c r="H87" s="455" t="s">
        <v>435</v>
      </c>
      <c r="I87" s="490" t="s">
        <v>132</v>
      </c>
    </row>
    <row r="88" spans="2:9" ht="33.75">
      <c r="B88" s="473"/>
      <c r="C88" s="473"/>
      <c r="D88" s="473"/>
      <c r="E88" s="909" t="s">
        <v>436</v>
      </c>
      <c r="F88" s="909" t="s">
        <v>437</v>
      </c>
      <c r="G88" s="909" t="s">
        <v>438</v>
      </c>
      <c r="H88" s="495" t="s">
        <v>439</v>
      </c>
      <c r="I88" s="489">
        <f>+I89</f>
        <v>3500</v>
      </c>
    </row>
    <row r="89" spans="2:9" ht="33.75">
      <c r="B89" s="469"/>
      <c r="C89" s="475"/>
      <c r="D89" s="475"/>
      <c r="E89" s="910"/>
      <c r="F89" s="910"/>
      <c r="G89" s="910"/>
      <c r="H89" s="496" t="s">
        <v>440</v>
      </c>
      <c r="I89" s="485">
        <v>3500</v>
      </c>
    </row>
    <row r="90" spans="2:9" ht="33.75">
      <c r="B90" s="473"/>
      <c r="C90" s="473"/>
      <c r="D90" s="473"/>
      <c r="E90" s="909" t="s">
        <v>441</v>
      </c>
      <c r="F90" s="909" t="s">
        <v>442</v>
      </c>
      <c r="G90" s="909" t="s">
        <v>443</v>
      </c>
      <c r="H90" s="452" t="s">
        <v>444</v>
      </c>
      <c r="I90" s="497" t="s">
        <v>132</v>
      </c>
    </row>
    <row r="91" spans="2:9" ht="33.75">
      <c r="B91" s="469"/>
      <c r="C91" s="469"/>
      <c r="D91" s="469"/>
      <c r="E91" s="914"/>
      <c r="F91" s="914"/>
      <c r="G91" s="914"/>
      <c r="H91" s="455" t="s">
        <v>445</v>
      </c>
      <c r="I91" s="485" t="s">
        <v>132</v>
      </c>
    </row>
    <row r="92" spans="2:9" ht="33.75">
      <c r="B92" s="473"/>
      <c r="C92" s="473"/>
      <c r="D92" s="473"/>
      <c r="E92" s="909" t="s">
        <v>446</v>
      </c>
      <c r="F92" s="909" t="s">
        <v>447</v>
      </c>
      <c r="G92" s="909" t="s">
        <v>448</v>
      </c>
      <c r="H92" s="495" t="s">
        <v>449</v>
      </c>
      <c r="I92" s="497" t="s">
        <v>132</v>
      </c>
    </row>
    <row r="93" spans="2:9" ht="22.5">
      <c r="B93" s="475"/>
      <c r="C93" s="475"/>
      <c r="D93" s="475"/>
      <c r="E93" s="910"/>
      <c r="F93" s="910"/>
      <c r="G93" s="910"/>
      <c r="H93" s="463" t="s">
        <v>450</v>
      </c>
      <c r="I93" s="485" t="s">
        <v>132</v>
      </c>
    </row>
    <row r="94" spans="2:9">
      <c r="B94" s="469"/>
      <c r="C94" s="469"/>
      <c r="D94" s="469"/>
      <c r="E94" s="914"/>
      <c r="F94" s="914"/>
      <c r="G94" s="914"/>
      <c r="H94" s="463" t="s">
        <v>227</v>
      </c>
      <c r="I94" s="497"/>
    </row>
    <row r="95" spans="2:9" ht="45">
      <c r="B95" s="440"/>
      <c r="C95" s="469"/>
      <c r="D95" s="469"/>
      <c r="E95" s="478"/>
      <c r="F95" s="478"/>
      <c r="G95" s="478"/>
      <c r="H95" s="463" t="s">
        <v>451</v>
      </c>
      <c r="I95" s="485" t="s">
        <v>132</v>
      </c>
    </row>
    <row r="96" spans="2:9">
      <c r="B96" s="440"/>
      <c r="C96" s="440"/>
      <c r="D96" s="440"/>
      <c r="E96" s="470" t="s">
        <v>452</v>
      </c>
      <c r="F96" s="471"/>
      <c r="G96" s="455"/>
      <c r="H96" s="440"/>
      <c r="I96" s="498"/>
    </row>
    <row r="97" spans="2:9" ht="45">
      <c r="B97" s="473"/>
      <c r="C97" s="473"/>
      <c r="D97" s="473"/>
      <c r="E97" s="909" t="s">
        <v>453</v>
      </c>
      <c r="F97" s="909" t="s">
        <v>454</v>
      </c>
      <c r="G97" s="909" t="s">
        <v>455</v>
      </c>
      <c r="H97" s="499" t="s">
        <v>456</v>
      </c>
      <c r="I97" s="458">
        <f>I98</f>
        <v>60000</v>
      </c>
    </row>
    <row r="98" spans="2:9" ht="22.5">
      <c r="B98" s="475"/>
      <c r="C98" s="475"/>
      <c r="D98" s="475"/>
      <c r="E98" s="910"/>
      <c r="F98" s="910"/>
      <c r="G98" s="910"/>
      <c r="H98" s="496" t="s">
        <v>457</v>
      </c>
      <c r="I98" s="464">
        <v>60000</v>
      </c>
    </row>
    <row r="99" spans="2:9" ht="45">
      <c r="B99" s="475"/>
      <c r="C99" s="475"/>
      <c r="D99" s="475"/>
      <c r="E99" s="910"/>
      <c r="F99" s="910"/>
      <c r="G99" s="910"/>
      <c r="H99" s="495" t="s">
        <v>458</v>
      </c>
      <c r="I99" s="474">
        <f>I100</f>
        <v>5000</v>
      </c>
    </row>
    <row r="100" spans="2:9" ht="22.5">
      <c r="B100" s="475"/>
      <c r="C100" s="475"/>
      <c r="D100" s="475"/>
      <c r="E100" s="910"/>
      <c r="F100" s="910"/>
      <c r="G100" s="910"/>
      <c r="H100" s="466" t="s">
        <v>459</v>
      </c>
      <c r="I100" s="464">
        <v>5000</v>
      </c>
    </row>
    <row r="101" spans="2:9" ht="22.5">
      <c r="B101" s="475"/>
      <c r="C101" s="475"/>
      <c r="D101" s="475"/>
      <c r="E101" s="910"/>
      <c r="F101" s="910"/>
      <c r="G101" s="910"/>
      <c r="H101" s="495" t="s">
        <v>460</v>
      </c>
      <c r="I101" s="500">
        <f>SUM(I102:I103)</f>
        <v>10000</v>
      </c>
    </row>
    <row r="102" spans="2:9" ht="33.75">
      <c r="B102" s="475"/>
      <c r="C102" s="475"/>
      <c r="D102" s="475"/>
      <c r="E102" s="910"/>
      <c r="F102" s="910"/>
      <c r="G102" s="910"/>
      <c r="H102" s="496" t="s">
        <v>461</v>
      </c>
      <c r="I102" s="501">
        <v>5000</v>
      </c>
    </row>
    <row r="103" spans="2:9" ht="22.5">
      <c r="B103" s="475"/>
      <c r="C103" s="475"/>
      <c r="D103" s="475"/>
      <c r="E103" s="910"/>
      <c r="F103" s="910"/>
      <c r="G103" s="910"/>
      <c r="H103" s="496" t="s">
        <v>462</v>
      </c>
      <c r="I103" s="501">
        <v>5000</v>
      </c>
    </row>
    <row r="104" spans="2:9" ht="22.5">
      <c r="B104" s="475"/>
      <c r="C104" s="475"/>
      <c r="D104" s="475"/>
      <c r="E104" s="910"/>
      <c r="F104" s="910"/>
      <c r="G104" s="910"/>
      <c r="H104" s="499" t="s">
        <v>463</v>
      </c>
      <c r="I104" s="458">
        <f>+I105</f>
        <v>50000</v>
      </c>
    </row>
    <row r="105" spans="2:9" ht="22.5">
      <c r="B105" s="475"/>
      <c r="C105" s="475"/>
      <c r="D105" s="475"/>
      <c r="E105" s="910"/>
      <c r="F105" s="910"/>
      <c r="G105" s="910"/>
      <c r="H105" s="463" t="s">
        <v>464</v>
      </c>
      <c r="I105" s="464">
        <v>50000</v>
      </c>
    </row>
    <row r="106" spans="2:9" ht="22.5">
      <c r="B106" s="475"/>
      <c r="C106" s="475"/>
      <c r="D106" s="475"/>
      <c r="E106" s="910"/>
      <c r="F106" s="910"/>
      <c r="G106" s="910"/>
      <c r="H106" s="502" t="s">
        <v>465</v>
      </c>
      <c r="I106" s="464" t="s">
        <v>132</v>
      </c>
    </row>
    <row r="107" spans="2:9" ht="22.5">
      <c r="B107" s="475"/>
      <c r="C107" s="475"/>
      <c r="D107" s="475"/>
      <c r="E107" s="910"/>
      <c r="F107" s="910"/>
      <c r="G107" s="910"/>
      <c r="H107" s="463" t="s">
        <v>466</v>
      </c>
      <c r="I107" s="464" t="s">
        <v>132</v>
      </c>
    </row>
    <row r="108" spans="2:9" ht="45">
      <c r="B108" s="475"/>
      <c r="C108" s="475"/>
      <c r="D108" s="475"/>
      <c r="E108" s="910"/>
      <c r="F108" s="910"/>
      <c r="G108" s="910"/>
      <c r="H108" s="499" t="s">
        <v>467</v>
      </c>
      <c r="I108" s="458">
        <f>+I109</f>
        <v>10000</v>
      </c>
    </row>
    <row r="109" spans="2:9" ht="22.5">
      <c r="B109" s="475"/>
      <c r="C109" s="475"/>
      <c r="D109" s="475"/>
      <c r="E109" s="910"/>
      <c r="F109" s="910"/>
      <c r="G109" s="910"/>
      <c r="H109" s="463" t="s">
        <v>468</v>
      </c>
      <c r="I109" s="456">
        <v>10000</v>
      </c>
    </row>
    <row r="110" spans="2:9" ht="22.5">
      <c r="B110" s="475"/>
      <c r="C110" s="475"/>
      <c r="D110" s="475"/>
      <c r="E110" s="910"/>
      <c r="F110" s="910"/>
      <c r="G110" s="910"/>
      <c r="H110" s="495" t="s">
        <v>469</v>
      </c>
      <c r="I110" s="474">
        <f>I111</f>
        <v>5000</v>
      </c>
    </row>
    <row r="111" spans="2:9" ht="45">
      <c r="B111" s="475"/>
      <c r="C111" s="475"/>
      <c r="D111" s="475"/>
      <c r="E111" s="910"/>
      <c r="F111" s="910"/>
      <c r="G111" s="910"/>
      <c r="H111" s="496" t="s">
        <v>470</v>
      </c>
      <c r="I111" s="464">
        <v>5000</v>
      </c>
    </row>
    <row r="112" spans="2:9" ht="22.5">
      <c r="B112" s="475"/>
      <c r="C112" s="475"/>
      <c r="D112" s="475"/>
      <c r="E112" s="477"/>
      <c r="F112" s="477"/>
      <c r="G112" s="477"/>
      <c r="H112" s="468" t="s">
        <v>471</v>
      </c>
      <c r="I112" s="503">
        <f>+I113</f>
        <v>4000</v>
      </c>
    </row>
    <row r="113" spans="2:10" ht="45">
      <c r="B113" s="475"/>
      <c r="C113" s="475"/>
      <c r="D113" s="475"/>
      <c r="E113" s="477"/>
      <c r="F113" s="477"/>
      <c r="G113" s="477"/>
      <c r="H113" s="478" t="s">
        <v>472</v>
      </c>
      <c r="I113" s="504">
        <v>4000</v>
      </c>
    </row>
    <row r="114" spans="2:10" ht="33.75">
      <c r="B114" s="475"/>
      <c r="C114" s="475"/>
      <c r="D114" s="475"/>
      <c r="E114" s="477"/>
      <c r="F114" s="477"/>
      <c r="G114" s="477"/>
      <c r="H114" s="486" t="s">
        <v>473</v>
      </c>
      <c r="I114" s="460" t="s">
        <v>132</v>
      </c>
    </row>
    <row r="115" spans="2:10" ht="33.75">
      <c r="B115" s="469"/>
      <c r="C115" s="475"/>
      <c r="D115" s="475"/>
      <c r="E115" s="477"/>
      <c r="F115" s="477"/>
      <c r="G115" s="477"/>
      <c r="H115" s="455" t="s">
        <v>419</v>
      </c>
      <c r="I115" s="485" t="s">
        <v>132</v>
      </c>
    </row>
    <row r="116" spans="2:10" ht="22.5">
      <c r="B116" s="475"/>
      <c r="C116" s="475"/>
      <c r="D116" s="475"/>
      <c r="E116" s="477"/>
      <c r="F116" s="477"/>
      <c r="G116" s="477"/>
      <c r="H116" s="452" t="s">
        <v>465</v>
      </c>
      <c r="I116" s="493">
        <f>I117</f>
        <v>5000</v>
      </c>
    </row>
    <row r="117" spans="2:10" ht="22.5">
      <c r="B117" s="475"/>
      <c r="C117" s="475"/>
      <c r="D117" s="475"/>
      <c r="E117" s="477"/>
      <c r="F117" s="477"/>
      <c r="G117" s="477"/>
      <c r="H117" s="455" t="s">
        <v>466</v>
      </c>
      <c r="I117" s="485">
        <v>5000</v>
      </c>
    </row>
    <row r="118" spans="2:10" ht="67.5">
      <c r="B118" s="473"/>
      <c r="C118" s="473"/>
      <c r="D118" s="473"/>
      <c r="E118" s="909" t="s">
        <v>474</v>
      </c>
      <c r="F118" s="909" t="s">
        <v>475</v>
      </c>
      <c r="G118" s="455" t="s">
        <v>476</v>
      </c>
      <c r="H118" s="499" t="s">
        <v>477</v>
      </c>
      <c r="I118" s="464" t="s">
        <v>132</v>
      </c>
    </row>
    <row r="119" spans="2:10" ht="22.5">
      <c r="B119" s="475"/>
      <c r="C119" s="475"/>
      <c r="D119" s="475"/>
      <c r="E119" s="910"/>
      <c r="F119" s="910"/>
      <c r="G119" s="455" t="s">
        <v>478</v>
      </c>
      <c r="H119" s="463" t="s">
        <v>479</v>
      </c>
      <c r="I119" s="464" t="s">
        <v>132</v>
      </c>
    </row>
    <row r="120" spans="2:10" ht="33.75">
      <c r="B120" s="475"/>
      <c r="C120" s="475"/>
      <c r="D120" s="475"/>
      <c r="E120" s="475"/>
      <c r="F120" s="505"/>
      <c r="G120" s="475"/>
      <c r="H120" s="499" t="s">
        <v>480</v>
      </c>
      <c r="I120" s="506" t="s">
        <v>132</v>
      </c>
    </row>
    <row r="121" spans="2:10" ht="33.75">
      <c r="B121" s="469"/>
      <c r="C121" s="469"/>
      <c r="D121" s="469"/>
      <c r="E121" s="469"/>
      <c r="F121" s="459"/>
      <c r="G121" s="469"/>
      <c r="H121" s="463" t="s">
        <v>481</v>
      </c>
      <c r="I121" s="507" t="s">
        <v>132</v>
      </c>
    </row>
    <row r="122" spans="2:10" ht="33.75">
      <c r="B122" s="440"/>
      <c r="C122" s="469"/>
      <c r="D122" s="469"/>
      <c r="E122" s="469"/>
      <c r="F122" s="459"/>
      <c r="G122" s="469"/>
      <c r="H122" s="499" t="s">
        <v>482</v>
      </c>
      <c r="I122" s="508">
        <f>+I123</f>
        <v>3000</v>
      </c>
      <c r="J122" s="509">
        <v>831623000</v>
      </c>
    </row>
    <row r="123" spans="2:10" ht="33.75">
      <c r="B123" s="440"/>
      <c r="C123" s="469"/>
      <c r="D123" s="469"/>
      <c r="E123" s="469"/>
      <c r="F123" s="459"/>
      <c r="G123" s="469"/>
      <c r="H123" s="463" t="s">
        <v>483</v>
      </c>
      <c r="I123" s="507">
        <v>3000</v>
      </c>
      <c r="J123" s="510">
        <f>J124-J122</f>
        <v>10000000</v>
      </c>
    </row>
    <row r="124" spans="2:10" ht="15.75">
      <c r="B124" s="440"/>
      <c r="C124" s="440"/>
      <c r="D124" s="440"/>
      <c r="E124" s="911" t="s">
        <v>45</v>
      </c>
      <c r="F124" s="912"/>
      <c r="G124" s="912"/>
      <c r="H124" s="913"/>
      <c r="I124" s="453">
        <f>I8+I20+I36+I39+I41+I47+I49+I52+I61+I63++I71+I75+I78+I84+I88+I97+I101+I104+I108+I122+I110+I112+I99+I116</f>
        <v>841623</v>
      </c>
      <c r="J124" s="511">
        <v>841623000</v>
      </c>
    </row>
    <row r="125" spans="2:10">
      <c r="J125" s="512">
        <v>1099398000</v>
      </c>
    </row>
    <row r="126" spans="2:10">
      <c r="J126" s="512">
        <f>J125-J124</f>
        <v>257775000</v>
      </c>
    </row>
    <row r="127" spans="2:10" ht="15">
      <c r="H127" s="513" t="s">
        <v>86</v>
      </c>
    </row>
    <row r="128" spans="2:10" ht="15">
      <c r="H128" s="513"/>
    </row>
    <row r="129" spans="8:8" ht="15">
      <c r="H129" s="513"/>
    </row>
    <row r="130" spans="8:8" ht="15">
      <c r="H130" s="513"/>
    </row>
    <row r="131" spans="8:8" ht="15">
      <c r="H131" s="514" t="s">
        <v>120</v>
      </c>
    </row>
    <row r="132" spans="8:8" ht="15">
      <c r="H132" s="513" t="s">
        <v>198</v>
      </c>
    </row>
    <row r="133" spans="8:8" ht="15.75">
      <c r="H133" s="515"/>
    </row>
  </sheetData>
  <mergeCells count="56">
    <mergeCell ref="E2:I2"/>
    <mergeCell ref="B3:I3"/>
    <mergeCell ref="D7:G7"/>
    <mergeCell ref="E8:E19"/>
    <mergeCell ref="F8:F19"/>
    <mergeCell ref="G8:G19"/>
    <mergeCell ref="E20:E29"/>
    <mergeCell ref="F20:F29"/>
    <mergeCell ref="G20:G29"/>
    <mergeCell ref="E32:E35"/>
    <mergeCell ref="F32:F33"/>
    <mergeCell ref="F34:F35"/>
    <mergeCell ref="G34:G35"/>
    <mergeCell ref="E39:E40"/>
    <mergeCell ref="E41:E45"/>
    <mergeCell ref="F42:F43"/>
    <mergeCell ref="G42:G43"/>
    <mergeCell ref="F44:F45"/>
    <mergeCell ref="G44:G45"/>
    <mergeCell ref="E69:E79"/>
    <mergeCell ref="F69:F79"/>
    <mergeCell ref="G69:G79"/>
    <mergeCell ref="E47:E48"/>
    <mergeCell ref="F47:F48"/>
    <mergeCell ref="G47:G48"/>
    <mergeCell ref="E49:E55"/>
    <mergeCell ref="F49:F51"/>
    <mergeCell ref="G49:G51"/>
    <mergeCell ref="F52:F55"/>
    <mergeCell ref="G52:G55"/>
    <mergeCell ref="E61:E68"/>
    <mergeCell ref="F61:F62"/>
    <mergeCell ref="G61:G62"/>
    <mergeCell ref="F63:F68"/>
    <mergeCell ref="G63:G68"/>
    <mergeCell ref="E81:E82"/>
    <mergeCell ref="F81:F82"/>
    <mergeCell ref="G81:G82"/>
    <mergeCell ref="E84:E87"/>
    <mergeCell ref="F84:F87"/>
    <mergeCell ref="G84:G87"/>
    <mergeCell ref="E88:E89"/>
    <mergeCell ref="F88:F89"/>
    <mergeCell ref="G88:G89"/>
    <mergeCell ref="E90:E91"/>
    <mergeCell ref="F90:F91"/>
    <mergeCell ref="G90:G91"/>
    <mergeCell ref="E118:E119"/>
    <mergeCell ref="F118:F119"/>
    <mergeCell ref="E124:H124"/>
    <mergeCell ref="E92:E94"/>
    <mergeCell ref="F92:F94"/>
    <mergeCell ref="G92:G94"/>
    <mergeCell ref="E97:E111"/>
    <mergeCell ref="F97:F111"/>
    <mergeCell ref="G97:G111"/>
  </mergeCells>
  <pageMargins left="0.70866141732283472" right="0.70866141732283472" top="0.43307086614173229" bottom="0.74803149606299213" header="0.31496062992125984" footer="0.31496062992125984"/>
  <pageSetup paperSize="5" scale="90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G12"/>
  <sheetViews>
    <sheetView workbookViewId="0">
      <selection activeCell="B4" sqref="B4"/>
    </sheetView>
  </sheetViews>
  <sheetFormatPr defaultRowHeight="15"/>
  <cols>
    <col min="1" max="1" width="4.42578125" style="358" customWidth="1"/>
    <col min="2" max="2" width="29.85546875" style="358" customWidth="1"/>
    <col min="3" max="4" width="17.42578125" style="545" customWidth="1"/>
    <col min="5" max="6" width="11.5703125" style="544" bestFit="1" customWidth="1"/>
  </cols>
  <sheetData>
    <row r="3" spans="1:7" s="358" customFormat="1" ht="31.5" customHeight="1">
      <c r="A3" s="543" t="s">
        <v>3</v>
      </c>
      <c r="B3" s="543"/>
      <c r="C3" s="546" t="s">
        <v>493</v>
      </c>
      <c r="D3" s="546" t="s">
        <v>494</v>
      </c>
      <c r="E3" s="545"/>
      <c r="F3" s="545"/>
    </row>
    <row r="4" spans="1:7" ht="32.25" customHeight="1">
      <c r="A4" s="543">
        <v>1</v>
      </c>
      <c r="B4" s="547" t="s">
        <v>495</v>
      </c>
      <c r="C4" s="546">
        <v>68000</v>
      </c>
      <c r="D4" s="546">
        <v>85500</v>
      </c>
      <c r="E4" s="544">
        <v>544000</v>
      </c>
      <c r="F4" s="544">
        <v>684000</v>
      </c>
      <c r="G4">
        <v>8</v>
      </c>
    </row>
    <row r="5" spans="1:7" ht="32.25" customHeight="1">
      <c r="A5" s="543">
        <v>2</v>
      </c>
      <c r="B5" s="543"/>
      <c r="C5" s="546">
        <v>68000</v>
      </c>
      <c r="D5" s="546">
        <v>85500</v>
      </c>
      <c r="E5" s="544">
        <f>E4/G4</f>
        <v>68000</v>
      </c>
      <c r="F5" s="544">
        <f>F4/G4</f>
        <v>85500</v>
      </c>
    </row>
    <row r="6" spans="1:7" ht="32.25" customHeight="1">
      <c r="A6" s="543">
        <v>3</v>
      </c>
      <c r="B6" s="543"/>
      <c r="C6" s="546">
        <v>68000</v>
      </c>
      <c r="D6" s="546">
        <v>85500</v>
      </c>
    </row>
    <row r="7" spans="1:7" ht="32.25" customHeight="1">
      <c r="A7" s="543">
        <v>4</v>
      </c>
      <c r="B7" s="543"/>
      <c r="C7" s="546">
        <v>68000</v>
      </c>
      <c r="D7" s="546">
        <v>85500</v>
      </c>
    </row>
    <row r="8" spans="1:7" ht="32.25" customHeight="1">
      <c r="A8" s="543">
        <v>5</v>
      </c>
      <c r="B8" s="543"/>
      <c r="C8" s="546">
        <v>68000</v>
      </c>
      <c r="D8" s="546">
        <v>85500</v>
      </c>
    </row>
    <row r="9" spans="1:7" ht="32.25" customHeight="1">
      <c r="A9" s="543">
        <v>6</v>
      </c>
      <c r="B9" s="543"/>
      <c r="C9" s="546">
        <v>68000</v>
      </c>
      <c r="D9" s="546">
        <v>85500</v>
      </c>
    </row>
    <row r="10" spans="1:7" ht="32.25" customHeight="1">
      <c r="A10" s="543">
        <v>7</v>
      </c>
      <c r="B10" s="543"/>
      <c r="C10" s="546">
        <v>68000</v>
      </c>
      <c r="D10" s="546">
        <v>85500</v>
      </c>
    </row>
    <row r="11" spans="1:7" ht="32.25" customHeight="1">
      <c r="A11" s="543">
        <v>8</v>
      </c>
      <c r="B11" s="543"/>
      <c r="C11" s="546">
        <v>68000</v>
      </c>
      <c r="D11" s="546">
        <v>85500</v>
      </c>
    </row>
    <row r="12" spans="1:7" ht="32.25" customHeight="1">
      <c r="A12" s="543"/>
      <c r="B12" s="543"/>
      <c r="C12" s="546">
        <f>SUM(C4:C11)</f>
        <v>544000</v>
      </c>
      <c r="D12" s="546">
        <f>SUM(D4:D11)</f>
        <v>684000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1:AK35"/>
  <sheetViews>
    <sheetView workbookViewId="0">
      <selection activeCell="N31" sqref="N31"/>
    </sheetView>
  </sheetViews>
  <sheetFormatPr defaultRowHeight="12.75"/>
  <cols>
    <col min="1" max="1" width="20.28515625" style="549" customWidth="1"/>
    <col min="2" max="2" width="3.85546875" style="549" customWidth="1"/>
    <col min="3" max="3" width="3.5703125" style="549" hidden="1" customWidth="1"/>
    <col min="4" max="4" width="14.85546875" style="549" customWidth="1"/>
    <col min="5" max="5" width="32.28515625" style="549" customWidth="1"/>
    <col min="6" max="6" width="6.42578125" style="654" customWidth="1"/>
    <col min="7" max="7" width="12.5703125" style="654" customWidth="1"/>
    <col min="8" max="8" width="11.7109375" style="549" customWidth="1"/>
    <col min="9" max="9" width="10.5703125" style="549" customWidth="1"/>
    <col min="10" max="10" width="11.42578125" style="549" customWidth="1"/>
    <col min="11" max="11" width="7" style="549" customWidth="1"/>
    <col min="12" max="13" width="5.140625" style="549" customWidth="1"/>
    <col min="14" max="14" width="6.42578125" style="549" bestFit="1" customWidth="1"/>
    <col min="15" max="19" width="5.140625" style="549" customWidth="1"/>
    <col min="20" max="20" width="6.42578125" style="549" bestFit="1" customWidth="1"/>
    <col min="21" max="34" width="5.140625" style="549" customWidth="1"/>
    <col min="35" max="35" width="4.5703125" style="549" customWidth="1"/>
    <col min="36" max="36" width="7.28515625" style="549" customWidth="1"/>
    <col min="37" max="16384" width="9.140625" style="549"/>
  </cols>
  <sheetData>
    <row r="1" spans="2:36" ht="15.75">
      <c r="B1" s="941" t="s">
        <v>496</v>
      </c>
      <c r="C1" s="941"/>
      <c r="D1" s="941"/>
      <c r="E1" s="941"/>
      <c r="F1" s="941"/>
      <c r="G1" s="941"/>
      <c r="H1" s="941"/>
      <c r="I1" s="941"/>
      <c r="J1" s="941"/>
      <c r="K1" s="941"/>
      <c r="L1" s="941"/>
      <c r="M1" s="941"/>
      <c r="N1" s="941"/>
      <c r="O1" s="941"/>
      <c r="P1" s="941"/>
      <c r="Q1" s="941"/>
      <c r="R1" s="941"/>
      <c r="S1" s="941"/>
      <c r="T1" s="941"/>
      <c r="U1" s="941"/>
      <c r="V1" s="941"/>
      <c r="W1" s="941"/>
      <c r="X1" s="941"/>
      <c r="Y1" s="941"/>
      <c r="Z1" s="941"/>
      <c r="AA1" s="941"/>
      <c r="AB1" s="941"/>
      <c r="AC1" s="941"/>
      <c r="AD1" s="941"/>
      <c r="AE1" s="941"/>
      <c r="AF1" s="941"/>
      <c r="AG1" s="941"/>
      <c r="AH1" s="941"/>
      <c r="AI1" s="941"/>
      <c r="AJ1" s="548"/>
    </row>
    <row r="2" spans="2:36" ht="15.75">
      <c r="B2" s="941" t="s">
        <v>497</v>
      </c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941"/>
      <c r="N2" s="941"/>
      <c r="O2" s="941"/>
      <c r="P2" s="941"/>
      <c r="Q2" s="941"/>
      <c r="R2" s="941"/>
      <c r="S2" s="941"/>
      <c r="T2" s="941"/>
      <c r="U2" s="941"/>
      <c r="V2" s="941"/>
      <c r="W2" s="941"/>
      <c r="X2" s="941"/>
      <c r="Y2" s="941"/>
      <c r="Z2" s="941"/>
      <c r="AA2" s="941"/>
      <c r="AB2" s="941"/>
      <c r="AC2" s="941"/>
      <c r="AD2" s="941"/>
      <c r="AE2" s="941"/>
      <c r="AF2" s="941"/>
      <c r="AG2" s="941"/>
      <c r="AH2" s="941"/>
      <c r="AI2" s="941"/>
      <c r="AJ2" s="548"/>
    </row>
    <row r="3" spans="2:36"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0"/>
      <c r="AA3" s="550"/>
      <c r="AB3" s="550"/>
      <c r="AC3" s="550"/>
      <c r="AD3" s="550"/>
      <c r="AE3" s="550"/>
      <c r="AF3" s="550"/>
      <c r="AG3" s="550"/>
      <c r="AH3" s="550"/>
      <c r="AI3" s="550"/>
      <c r="AJ3" s="550"/>
    </row>
    <row r="4" spans="2:36" ht="15.75">
      <c r="B4" s="551" t="s">
        <v>527</v>
      </c>
      <c r="C4" s="551"/>
      <c r="D4" s="551"/>
      <c r="E4" s="551"/>
      <c r="F4" s="550"/>
      <c r="G4" s="550"/>
      <c r="H4" s="552"/>
      <c r="I4" s="552"/>
      <c r="J4" s="552"/>
      <c r="K4" s="552"/>
      <c r="L4" s="550"/>
      <c r="M4" s="550"/>
      <c r="N4" s="552"/>
      <c r="O4" s="552"/>
      <c r="P4" s="552"/>
      <c r="Q4" s="552"/>
      <c r="R4" s="550"/>
      <c r="S4" s="550"/>
      <c r="T4" s="552"/>
      <c r="U4" s="552"/>
      <c r="V4" s="552"/>
      <c r="W4" s="552"/>
      <c r="X4" s="550"/>
      <c r="Y4" s="550"/>
      <c r="Z4" s="552"/>
      <c r="AA4" s="552"/>
      <c r="AB4" s="552"/>
      <c r="AC4" s="552"/>
      <c r="AD4" s="550"/>
      <c r="AE4" s="550"/>
      <c r="AF4" s="552"/>
      <c r="AG4" s="552"/>
      <c r="AH4" s="552"/>
      <c r="AI4" s="552"/>
      <c r="AJ4" s="552"/>
    </row>
    <row r="5" spans="2:36">
      <c r="B5" s="552"/>
      <c r="C5" s="552"/>
      <c r="D5" s="552"/>
      <c r="E5" s="552"/>
      <c r="F5" s="550"/>
      <c r="G5" s="550"/>
      <c r="H5" s="552"/>
      <c r="I5" s="552"/>
      <c r="J5" s="552"/>
      <c r="K5" s="552"/>
      <c r="L5" s="550"/>
      <c r="M5" s="550"/>
      <c r="N5" s="552"/>
      <c r="O5" s="552"/>
      <c r="P5" s="552"/>
      <c r="Q5" s="552"/>
      <c r="R5" s="550"/>
      <c r="S5" s="550"/>
      <c r="T5" s="552"/>
      <c r="U5" s="552"/>
      <c r="V5" s="552"/>
      <c r="W5" s="552"/>
      <c r="X5" s="550"/>
      <c r="Y5" s="550"/>
      <c r="Z5" s="552"/>
      <c r="AA5" s="552"/>
      <c r="AB5" s="552"/>
      <c r="AC5" s="552"/>
      <c r="AD5" s="550"/>
      <c r="AE5" s="550"/>
      <c r="AF5" s="552"/>
      <c r="AG5" s="552"/>
      <c r="AH5" s="552"/>
      <c r="AI5" s="552"/>
      <c r="AJ5" s="552"/>
    </row>
    <row r="6" spans="2:36" ht="13.5" thickBot="1">
      <c r="B6" s="11"/>
      <c r="C6" s="11"/>
      <c r="D6" s="11"/>
      <c r="E6" s="11"/>
      <c r="F6" s="553"/>
      <c r="G6" s="554"/>
      <c r="H6" s="555"/>
      <c r="I6" s="555"/>
      <c r="J6" s="555"/>
      <c r="K6" s="555"/>
      <c r="L6" s="11"/>
      <c r="M6" s="555"/>
      <c r="N6" s="555"/>
      <c r="O6" s="555"/>
      <c r="P6" s="555"/>
      <c r="Q6" s="555"/>
      <c r="R6" s="11"/>
      <c r="S6" s="555"/>
      <c r="T6" s="555"/>
      <c r="U6" s="555"/>
      <c r="V6" s="555"/>
      <c r="W6" s="555"/>
      <c r="X6" s="11"/>
      <c r="Y6" s="11"/>
      <c r="Z6" s="555"/>
      <c r="AA6" s="555"/>
      <c r="AB6" s="555"/>
      <c r="AC6" s="555"/>
      <c r="AD6" s="11"/>
      <c r="AE6" s="11"/>
      <c r="AF6" s="555"/>
      <c r="AG6" s="555"/>
      <c r="AH6" s="555"/>
      <c r="AI6" s="555"/>
      <c r="AJ6" s="555"/>
    </row>
    <row r="7" spans="2:36" ht="24" customHeight="1" thickBot="1">
      <c r="B7" s="942" t="s">
        <v>3</v>
      </c>
      <c r="C7" s="556"/>
      <c r="D7" s="945" t="s">
        <v>265</v>
      </c>
      <c r="E7" s="942" t="s">
        <v>498</v>
      </c>
      <c r="F7" s="947" t="s">
        <v>292</v>
      </c>
      <c r="G7" s="950" t="s">
        <v>293</v>
      </c>
      <c r="H7" s="954" t="s">
        <v>499</v>
      </c>
      <c r="I7" s="955"/>
      <c r="J7" s="955"/>
      <c r="K7" s="955"/>
      <c r="L7" s="955"/>
      <c r="M7" s="955"/>
      <c r="N7" s="955"/>
      <c r="O7" s="955"/>
      <c r="P7" s="955"/>
      <c r="Q7" s="955"/>
      <c r="R7" s="955"/>
      <c r="S7" s="955"/>
      <c r="T7" s="955"/>
      <c r="U7" s="955"/>
      <c r="V7" s="955"/>
      <c r="W7" s="955"/>
      <c r="X7" s="955"/>
      <c r="Y7" s="955"/>
      <c r="Z7" s="955"/>
      <c r="AA7" s="955"/>
      <c r="AB7" s="955"/>
      <c r="AC7" s="955"/>
      <c r="AD7" s="955"/>
      <c r="AE7" s="955"/>
      <c r="AF7" s="955"/>
      <c r="AG7" s="955"/>
      <c r="AH7" s="955"/>
      <c r="AI7" s="955"/>
      <c r="AJ7" s="930" t="s">
        <v>9</v>
      </c>
    </row>
    <row r="8" spans="2:36" ht="15.75" customHeight="1" thickBot="1">
      <c r="B8" s="943"/>
      <c r="C8" s="557"/>
      <c r="D8" s="945"/>
      <c r="E8" s="943"/>
      <c r="F8" s="948"/>
      <c r="G8" s="951"/>
      <c r="H8" s="933" t="s">
        <v>500</v>
      </c>
      <c r="I8" s="934"/>
      <c r="J8" s="934"/>
      <c r="K8" s="935"/>
      <c r="L8" s="933" t="s">
        <v>501</v>
      </c>
      <c r="M8" s="934"/>
      <c r="N8" s="934"/>
      <c r="O8" s="934"/>
      <c r="P8" s="934"/>
      <c r="Q8" s="935"/>
      <c r="R8" s="933" t="s">
        <v>502</v>
      </c>
      <c r="S8" s="936"/>
      <c r="T8" s="936"/>
      <c r="U8" s="936"/>
      <c r="V8" s="936"/>
      <c r="W8" s="937"/>
      <c r="X8" s="933" t="s">
        <v>503</v>
      </c>
      <c r="Y8" s="934"/>
      <c r="Z8" s="934"/>
      <c r="AA8" s="934"/>
      <c r="AB8" s="934"/>
      <c r="AC8" s="935"/>
      <c r="AD8" s="933" t="s">
        <v>504</v>
      </c>
      <c r="AE8" s="934"/>
      <c r="AF8" s="934"/>
      <c r="AG8" s="934"/>
      <c r="AH8" s="934"/>
      <c r="AI8" s="934"/>
      <c r="AJ8" s="931"/>
    </row>
    <row r="9" spans="2:36" s="559" customFormat="1" ht="15" customHeight="1" thickBot="1">
      <c r="B9" s="943"/>
      <c r="C9" s="558"/>
      <c r="D9" s="945"/>
      <c r="E9" s="943"/>
      <c r="F9" s="948"/>
      <c r="G9" s="952"/>
      <c r="H9" s="938" t="s">
        <v>505</v>
      </c>
      <c r="I9" s="939"/>
      <c r="J9" s="939"/>
      <c r="K9" s="940"/>
      <c r="L9" s="938" t="s">
        <v>505</v>
      </c>
      <c r="M9" s="939"/>
      <c r="N9" s="939"/>
      <c r="O9" s="939"/>
      <c r="P9" s="939"/>
      <c r="Q9" s="940"/>
      <c r="R9" s="938" t="s">
        <v>505</v>
      </c>
      <c r="S9" s="939"/>
      <c r="T9" s="939"/>
      <c r="U9" s="939"/>
      <c r="V9" s="939"/>
      <c r="W9" s="940"/>
      <c r="X9" s="938" t="s">
        <v>505</v>
      </c>
      <c r="Y9" s="939"/>
      <c r="Z9" s="939"/>
      <c r="AA9" s="939"/>
      <c r="AB9" s="939"/>
      <c r="AC9" s="940"/>
      <c r="AD9" s="938" t="s">
        <v>505</v>
      </c>
      <c r="AE9" s="939"/>
      <c r="AF9" s="939"/>
      <c r="AG9" s="939"/>
      <c r="AH9" s="939"/>
      <c r="AI9" s="939"/>
      <c r="AJ9" s="931"/>
    </row>
    <row r="10" spans="2:36" s="567" customFormat="1" ht="30" customHeight="1" thickBot="1">
      <c r="B10" s="944"/>
      <c r="C10" s="557"/>
      <c r="D10" s="946"/>
      <c r="E10" s="944"/>
      <c r="F10" s="949"/>
      <c r="G10" s="953"/>
      <c r="H10" s="560" t="s">
        <v>506</v>
      </c>
      <c r="I10" s="561" t="s">
        <v>507</v>
      </c>
      <c r="J10" s="562" t="s">
        <v>508</v>
      </c>
      <c r="K10" s="563">
        <v>1</v>
      </c>
      <c r="L10" s="564" t="s">
        <v>292</v>
      </c>
      <c r="M10" s="565" t="s">
        <v>293</v>
      </c>
      <c r="N10" s="560" t="s">
        <v>506</v>
      </c>
      <c r="O10" s="561" t="s">
        <v>507</v>
      </c>
      <c r="P10" s="562" t="s">
        <v>508</v>
      </c>
      <c r="Q10" s="563">
        <v>1</v>
      </c>
      <c r="R10" s="564" t="s">
        <v>292</v>
      </c>
      <c r="S10" s="565" t="s">
        <v>293</v>
      </c>
      <c r="T10" s="560" t="s">
        <v>506</v>
      </c>
      <c r="U10" s="561" t="s">
        <v>507</v>
      </c>
      <c r="V10" s="562" t="s">
        <v>508</v>
      </c>
      <c r="W10" s="563">
        <v>1</v>
      </c>
      <c r="X10" s="564" t="s">
        <v>509</v>
      </c>
      <c r="Y10" s="564" t="s">
        <v>293</v>
      </c>
      <c r="Z10" s="560" t="s">
        <v>506</v>
      </c>
      <c r="AA10" s="561" t="s">
        <v>507</v>
      </c>
      <c r="AB10" s="562" t="s">
        <v>508</v>
      </c>
      <c r="AC10" s="563">
        <v>1</v>
      </c>
      <c r="AD10" s="564" t="s">
        <v>292</v>
      </c>
      <c r="AE10" s="564" t="s">
        <v>293</v>
      </c>
      <c r="AF10" s="560" t="s">
        <v>506</v>
      </c>
      <c r="AG10" s="561" t="s">
        <v>507</v>
      </c>
      <c r="AH10" s="562" t="s">
        <v>508</v>
      </c>
      <c r="AI10" s="566">
        <v>1</v>
      </c>
      <c r="AJ10" s="932"/>
    </row>
    <row r="11" spans="2:36" s="578" customFormat="1" ht="12.75" customHeight="1" thickBot="1">
      <c r="B11" s="568"/>
      <c r="C11" s="569"/>
      <c r="D11" s="568"/>
      <c r="E11" s="568"/>
      <c r="F11" s="570"/>
      <c r="G11" s="571"/>
      <c r="H11" s="572"/>
      <c r="I11" s="573"/>
      <c r="J11" s="572"/>
      <c r="K11" s="572"/>
      <c r="L11" s="574"/>
      <c r="M11" s="575"/>
      <c r="N11" s="572"/>
      <c r="O11" s="573"/>
      <c r="P11" s="572"/>
      <c r="Q11" s="572"/>
      <c r="R11" s="574"/>
      <c r="S11" s="575"/>
      <c r="T11" s="572"/>
      <c r="U11" s="573"/>
      <c r="V11" s="572"/>
      <c r="W11" s="572"/>
      <c r="X11" s="574"/>
      <c r="Y11" s="574"/>
      <c r="Z11" s="572"/>
      <c r="AA11" s="573"/>
      <c r="AB11" s="572"/>
      <c r="AC11" s="572"/>
      <c r="AD11" s="574"/>
      <c r="AE11" s="576"/>
      <c r="AF11" s="572"/>
      <c r="AG11" s="573"/>
      <c r="AH11" s="572"/>
      <c r="AI11" s="572"/>
      <c r="AJ11" s="577"/>
    </row>
    <row r="12" spans="2:36" ht="29.25" customHeight="1">
      <c r="B12" s="579">
        <v>1</v>
      </c>
      <c r="C12" s="580"/>
      <c r="D12" s="923" t="s">
        <v>290</v>
      </c>
      <c r="E12" s="581" t="s">
        <v>510</v>
      </c>
      <c r="F12" s="582">
        <v>1</v>
      </c>
      <c r="G12" s="583">
        <v>170000000</v>
      </c>
      <c r="H12" s="584">
        <v>169540000</v>
      </c>
      <c r="I12" s="585" t="s">
        <v>511</v>
      </c>
      <c r="J12" s="584">
        <f>H12</f>
        <v>169540000</v>
      </c>
      <c r="K12" s="586">
        <f>J12/G12*100</f>
        <v>99.729411764705873</v>
      </c>
      <c r="L12" s="587">
        <v>0</v>
      </c>
      <c r="M12" s="587">
        <v>0</v>
      </c>
      <c r="N12" s="587">
        <v>0</v>
      </c>
      <c r="O12" s="587">
        <v>0</v>
      </c>
      <c r="P12" s="587">
        <v>0</v>
      </c>
      <c r="Q12" s="586">
        <v>0</v>
      </c>
      <c r="R12" s="587">
        <v>0</v>
      </c>
      <c r="S12" s="587">
        <v>0</v>
      </c>
      <c r="T12" s="587">
        <v>0</v>
      </c>
      <c r="U12" s="587">
        <v>0</v>
      </c>
      <c r="V12" s="587">
        <v>0</v>
      </c>
      <c r="W12" s="586">
        <v>0</v>
      </c>
      <c r="X12" s="587">
        <v>0</v>
      </c>
      <c r="Y12" s="587">
        <v>0</v>
      </c>
      <c r="Z12" s="587">
        <v>0</v>
      </c>
      <c r="AA12" s="587">
        <v>0</v>
      </c>
      <c r="AB12" s="587">
        <v>0</v>
      </c>
      <c r="AC12" s="586">
        <v>0</v>
      </c>
      <c r="AD12" s="587">
        <v>0</v>
      </c>
      <c r="AE12" s="587">
        <v>0</v>
      </c>
      <c r="AF12" s="587">
        <v>0</v>
      </c>
      <c r="AG12" s="587">
        <v>0</v>
      </c>
      <c r="AH12" s="587">
        <v>0</v>
      </c>
      <c r="AI12" s="586">
        <v>0</v>
      </c>
      <c r="AJ12" s="588"/>
    </row>
    <row r="13" spans="2:36" ht="29.25" customHeight="1">
      <c r="B13" s="589">
        <v>2</v>
      </c>
      <c r="C13" s="580"/>
      <c r="D13" s="924"/>
      <c r="E13" s="581" t="s">
        <v>512</v>
      </c>
      <c r="F13" s="590">
        <v>1</v>
      </c>
      <c r="G13" s="583">
        <v>100000000</v>
      </c>
      <c r="H13" s="585">
        <v>0</v>
      </c>
      <c r="I13" s="585">
        <v>0</v>
      </c>
      <c r="J13" s="585">
        <v>0</v>
      </c>
      <c r="K13" s="586">
        <f t="shared" ref="K13:K14" si="0">J13/G13*100</f>
        <v>0</v>
      </c>
      <c r="L13" s="587">
        <v>0</v>
      </c>
      <c r="M13" s="591">
        <v>0</v>
      </c>
      <c r="N13" s="585">
        <v>0</v>
      </c>
      <c r="O13" s="585">
        <v>0</v>
      </c>
      <c r="P13" s="585">
        <v>0</v>
      </c>
      <c r="Q13" s="586">
        <v>0</v>
      </c>
      <c r="R13" s="587">
        <v>0</v>
      </c>
      <c r="S13" s="591">
        <v>0</v>
      </c>
      <c r="T13" s="585">
        <v>0</v>
      </c>
      <c r="U13" s="585">
        <v>0</v>
      </c>
      <c r="V13" s="585">
        <v>0</v>
      </c>
      <c r="W13" s="586">
        <v>0</v>
      </c>
      <c r="X13" s="587">
        <v>0</v>
      </c>
      <c r="Y13" s="587">
        <v>0</v>
      </c>
      <c r="Z13" s="585">
        <v>0</v>
      </c>
      <c r="AA13" s="585">
        <v>0</v>
      </c>
      <c r="AB13" s="585">
        <v>0</v>
      </c>
      <c r="AC13" s="586">
        <v>0</v>
      </c>
      <c r="AD13" s="587">
        <v>0</v>
      </c>
      <c r="AE13" s="587">
        <v>0</v>
      </c>
      <c r="AF13" s="585">
        <v>0</v>
      </c>
      <c r="AG13" s="585">
        <v>0</v>
      </c>
      <c r="AH13" s="585">
        <v>0</v>
      </c>
      <c r="AI13" s="586">
        <v>0</v>
      </c>
      <c r="AJ13" s="592"/>
    </row>
    <row r="14" spans="2:36" ht="49.5" customHeight="1" thickBot="1">
      <c r="B14" s="589">
        <v>3</v>
      </c>
      <c r="C14" s="593"/>
      <c r="D14" s="924"/>
      <c r="E14" s="581" t="s">
        <v>513</v>
      </c>
      <c r="F14" s="582">
        <v>1</v>
      </c>
      <c r="G14" s="594">
        <v>200000000</v>
      </c>
      <c r="H14" s="595">
        <v>0</v>
      </c>
      <c r="I14" s="595">
        <v>0</v>
      </c>
      <c r="J14" s="585">
        <v>0</v>
      </c>
      <c r="K14" s="596">
        <f t="shared" si="0"/>
        <v>0</v>
      </c>
      <c r="L14" s="587">
        <v>0</v>
      </c>
      <c r="M14" s="587">
        <v>0</v>
      </c>
      <c r="N14" s="587">
        <v>0</v>
      </c>
      <c r="O14" s="587">
        <v>0</v>
      </c>
      <c r="P14" s="587">
        <v>0</v>
      </c>
      <c r="Q14" s="586">
        <v>0</v>
      </c>
      <c r="R14" s="587">
        <v>0</v>
      </c>
      <c r="S14" s="587">
        <v>0</v>
      </c>
      <c r="T14" s="587">
        <v>0</v>
      </c>
      <c r="U14" s="587">
        <v>0</v>
      </c>
      <c r="V14" s="587">
        <v>0</v>
      </c>
      <c r="W14" s="586">
        <v>0</v>
      </c>
      <c r="X14" s="587">
        <v>0</v>
      </c>
      <c r="Y14" s="587">
        <v>0</v>
      </c>
      <c r="Z14" s="587">
        <v>0</v>
      </c>
      <c r="AA14" s="587">
        <v>0</v>
      </c>
      <c r="AB14" s="587">
        <v>0</v>
      </c>
      <c r="AC14" s="586">
        <v>0</v>
      </c>
      <c r="AD14" s="587">
        <v>0</v>
      </c>
      <c r="AE14" s="587">
        <v>0</v>
      </c>
      <c r="AF14" s="587">
        <v>0</v>
      </c>
      <c r="AG14" s="587">
        <v>0</v>
      </c>
      <c r="AH14" s="587">
        <v>0</v>
      </c>
      <c r="AI14" s="586">
        <v>0</v>
      </c>
      <c r="AJ14" s="592"/>
    </row>
    <row r="15" spans="2:36" s="610" customFormat="1" ht="13.5" thickBot="1">
      <c r="B15" s="597"/>
      <c r="C15" s="598"/>
      <c r="D15" s="599"/>
      <c r="E15" s="600" t="s">
        <v>514</v>
      </c>
      <c r="F15" s="601">
        <f>SUM(F12:F14)</f>
        <v>3</v>
      </c>
      <c r="G15" s="602">
        <f>SUM(G12:G14)</f>
        <v>470000000</v>
      </c>
      <c r="H15" s="603">
        <f>SUM(H12:H14)</f>
        <v>169540000</v>
      </c>
      <c r="I15" s="603">
        <f>SUM(I12:I14)</f>
        <v>0</v>
      </c>
      <c r="J15" s="603">
        <f>SUM(J12:J14)</f>
        <v>169540000</v>
      </c>
      <c r="K15" s="604">
        <f>J15/G15*100</f>
        <v>36.072340425531912</v>
      </c>
      <c r="L15" s="605">
        <v>0</v>
      </c>
      <c r="M15" s="606"/>
      <c r="N15" s="603"/>
      <c r="O15" s="603"/>
      <c r="P15" s="603"/>
      <c r="Q15" s="607">
        <v>0</v>
      </c>
      <c r="R15" s="608"/>
      <c r="S15" s="606"/>
      <c r="T15" s="603"/>
      <c r="U15" s="603"/>
      <c r="V15" s="603"/>
      <c r="W15" s="607">
        <v>0</v>
      </c>
      <c r="X15" s="608"/>
      <c r="Y15" s="608"/>
      <c r="Z15" s="603"/>
      <c r="AA15" s="603"/>
      <c r="AB15" s="603"/>
      <c r="AC15" s="607">
        <v>0</v>
      </c>
      <c r="AD15" s="608"/>
      <c r="AE15" s="608"/>
      <c r="AF15" s="603"/>
      <c r="AG15" s="603"/>
      <c r="AH15" s="603"/>
      <c r="AI15" s="607">
        <v>0</v>
      </c>
      <c r="AJ15" s="609"/>
    </row>
    <row r="16" spans="2:36" ht="27.75" customHeight="1">
      <c r="B16" s="579">
        <v>1</v>
      </c>
      <c r="C16" s="580"/>
      <c r="D16" s="923" t="s">
        <v>515</v>
      </c>
      <c r="E16" s="611" t="s">
        <v>516</v>
      </c>
      <c r="F16" s="590">
        <v>1</v>
      </c>
      <c r="G16" s="612">
        <v>35000000</v>
      </c>
      <c r="H16" s="585">
        <v>0</v>
      </c>
      <c r="I16" s="585">
        <v>0</v>
      </c>
      <c r="J16" s="585">
        <v>0</v>
      </c>
      <c r="K16" s="586">
        <f t="shared" ref="K16:K20" si="1">J16/G16*100</f>
        <v>0</v>
      </c>
      <c r="L16" s="587">
        <v>0</v>
      </c>
      <c r="M16" s="587">
        <v>0</v>
      </c>
      <c r="N16" s="587">
        <v>0</v>
      </c>
      <c r="O16" s="587">
        <v>0</v>
      </c>
      <c r="P16" s="587">
        <v>0</v>
      </c>
      <c r="Q16" s="586">
        <v>0</v>
      </c>
      <c r="R16" s="587">
        <v>0</v>
      </c>
      <c r="S16" s="591">
        <v>0</v>
      </c>
      <c r="T16" s="585">
        <v>0</v>
      </c>
      <c r="U16" s="585">
        <v>0</v>
      </c>
      <c r="V16" s="585">
        <v>0</v>
      </c>
      <c r="W16" s="586">
        <v>0</v>
      </c>
      <c r="X16" s="587">
        <v>0</v>
      </c>
      <c r="Y16" s="587">
        <v>0</v>
      </c>
      <c r="Z16" s="587">
        <v>0</v>
      </c>
      <c r="AA16" s="587">
        <v>0</v>
      </c>
      <c r="AB16" s="587">
        <v>0</v>
      </c>
      <c r="AC16" s="586">
        <v>0</v>
      </c>
      <c r="AD16" s="587">
        <v>0</v>
      </c>
      <c r="AE16" s="587">
        <v>0</v>
      </c>
      <c r="AF16" s="587">
        <v>0</v>
      </c>
      <c r="AG16" s="587">
        <v>0</v>
      </c>
      <c r="AH16" s="587">
        <v>0</v>
      </c>
      <c r="AI16" s="586">
        <v>0</v>
      </c>
      <c r="AJ16" s="588"/>
    </row>
    <row r="17" spans="2:37" ht="30" customHeight="1">
      <c r="B17" s="589">
        <v>2</v>
      </c>
      <c r="C17" s="580"/>
      <c r="D17" s="924"/>
      <c r="E17" s="581" t="s">
        <v>517</v>
      </c>
      <c r="F17" s="613">
        <v>1</v>
      </c>
      <c r="G17" s="614">
        <v>10000000</v>
      </c>
      <c r="H17" s="585">
        <v>0</v>
      </c>
      <c r="I17" s="585">
        <v>0</v>
      </c>
      <c r="J17" s="585">
        <v>10000000</v>
      </c>
      <c r="K17" s="586">
        <f t="shared" si="1"/>
        <v>100</v>
      </c>
      <c r="L17" s="587">
        <v>0</v>
      </c>
      <c r="M17" s="587">
        <v>0</v>
      </c>
      <c r="N17" s="587">
        <v>0</v>
      </c>
      <c r="O17" s="587">
        <v>0</v>
      </c>
      <c r="P17" s="587">
        <v>0</v>
      </c>
      <c r="Q17" s="586">
        <v>0</v>
      </c>
      <c r="R17" s="587">
        <v>0</v>
      </c>
      <c r="S17" s="591">
        <v>0</v>
      </c>
      <c r="T17" s="585">
        <v>0</v>
      </c>
      <c r="U17" s="585">
        <v>0</v>
      </c>
      <c r="V17" s="585">
        <v>0</v>
      </c>
      <c r="W17" s="586">
        <v>0</v>
      </c>
      <c r="X17" s="587">
        <v>0</v>
      </c>
      <c r="Y17" s="587">
        <v>0</v>
      </c>
      <c r="Z17" s="587">
        <v>0</v>
      </c>
      <c r="AA17" s="587">
        <v>0</v>
      </c>
      <c r="AB17" s="587">
        <v>0</v>
      </c>
      <c r="AC17" s="586">
        <v>0</v>
      </c>
      <c r="AD17" s="587">
        <v>0</v>
      </c>
      <c r="AE17" s="587">
        <v>0</v>
      </c>
      <c r="AF17" s="587">
        <v>0</v>
      </c>
      <c r="AG17" s="587">
        <v>0</v>
      </c>
      <c r="AH17" s="587">
        <v>0</v>
      </c>
      <c r="AI17" s="586">
        <v>0</v>
      </c>
      <c r="AJ17" s="592"/>
    </row>
    <row r="18" spans="2:37" ht="24.75" customHeight="1">
      <c r="B18" s="589">
        <v>3</v>
      </c>
      <c r="C18" s="580"/>
      <c r="D18" s="924"/>
      <c r="E18" s="581" t="s">
        <v>518</v>
      </c>
      <c r="F18" s="613">
        <v>1</v>
      </c>
      <c r="G18" s="614">
        <v>5000000</v>
      </c>
      <c r="H18" s="585">
        <v>0</v>
      </c>
      <c r="I18" s="585">
        <v>0</v>
      </c>
      <c r="J18" s="585">
        <v>5000000</v>
      </c>
      <c r="K18" s="586">
        <f t="shared" si="1"/>
        <v>100</v>
      </c>
      <c r="L18" s="587">
        <v>0</v>
      </c>
      <c r="M18" s="587">
        <v>0</v>
      </c>
      <c r="N18" s="587">
        <v>0</v>
      </c>
      <c r="O18" s="587">
        <v>0</v>
      </c>
      <c r="P18" s="587">
        <v>0</v>
      </c>
      <c r="Q18" s="586">
        <v>0</v>
      </c>
      <c r="R18" s="587">
        <v>0</v>
      </c>
      <c r="S18" s="591">
        <v>0</v>
      </c>
      <c r="T18" s="585">
        <v>0</v>
      </c>
      <c r="U18" s="585">
        <v>0</v>
      </c>
      <c r="V18" s="585">
        <v>0</v>
      </c>
      <c r="W18" s="586">
        <v>0</v>
      </c>
      <c r="X18" s="587">
        <v>0</v>
      </c>
      <c r="Y18" s="587">
        <v>0</v>
      </c>
      <c r="Z18" s="587">
        <v>0</v>
      </c>
      <c r="AA18" s="587">
        <v>0</v>
      </c>
      <c r="AB18" s="587">
        <v>0</v>
      </c>
      <c r="AC18" s="586">
        <v>0</v>
      </c>
      <c r="AD18" s="587">
        <v>0</v>
      </c>
      <c r="AE18" s="587">
        <v>0</v>
      </c>
      <c r="AF18" s="587">
        <v>0</v>
      </c>
      <c r="AG18" s="587">
        <v>0</v>
      </c>
      <c r="AH18" s="587">
        <v>0</v>
      </c>
      <c r="AI18" s="586">
        <v>0</v>
      </c>
      <c r="AJ18" s="592"/>
      <c r="AK18" s="11"/>
    </row>
    <row r="19" spans="2:37" ht="30" customHeight="1">
      <c r="B19" s="589">
        <v>4</v>
      </c>
      <c r="C19" s="580"/>
      <c r="D19" s="924"/>
      <c r="E19" s="581" t="s">
        <v>519</v>
      </c>
      <c r="F19" s="613">
        <v>1</v>
      </c>
      <c r="G19" s="614">
        <v>30000000</v>
      </c>
      <c r="H19" s="585">
        <v>0</v>
      </c>
      <c r="I19" s="585">
        <v>0</v>
      </c>
      <c r="J19" s="585">
        <v>0</v>
      </c>
      <c r="K19" s="586">
        <f t="shared" si="1"/>
        <v>0</v>
      </c>
      <c r="L19" s="587">
        <v>0</v>
      </c>
      <c r="M19" s="587">
        <v>0</v>
      </c>
      <c r="N19" s="587">
        <v>0</v>
      </c>
      <c r="O19" s="587">
        <v>0</v>
      </c>
      <c r="P19" s="587">
        <v>0</v>
      </c>
      <c r="Q19" s="586">
        <v>0</v>
      </c>
      <c r="R19" s="587">
        <v>0</v>
      </c>
      <c r="S19" s="591">
        <v>0</v>
      </c>
      <c r="T19" s="585">
        <v>0</v>
      </c>
      <c r="U19" s="585">
        <v>0</v>
      </c>
      <c r="V19" s="585">
        <v>0</v>
      </c>
      <c r="W19" s="586">
        <v>0</v>
      </c>
      <c r="X19" s="587">
        <v>0</v>
      </c>
      <c r="Y19" s="587">
        <v>0</v>
      </c>
      <c r="Z19" s="587">
        <v>0</v>
      </c>
      <c r="AA19" s="587">
        <v>0</v>
      </c>
      <c r="AB19" s="585"/>
      <c r="AC19" s="586">
        <v>0</v>
      </c>
      <c r="AD19" s="587">
        <v>0</v>
      </c>
      <c r="AE19" s="587">
        <v>0</v>
      </c>
      <c r="AF19" s="587">
        <v>0</v>
      </c>
      <c r="AG19" s="587">
        <v>0</v>
      </c>
      <c r="AH19" s="587">
        <v>0</v>
      </c>
      <c r="AI19" s="586">
        <v>0</v>
      </c>
      <c r="AJ19" s="592"/>
      <c r="AK19" s="11"/>
    </row>
    <row r="20" spans="2:37" ht="30" customHeight="1" thickBot="1">
      <c r="B20" s="615">
        <v>5</v>
      </c>
      <c r="C20" s="593"/>
      <c r="D20" s="925"/>
      <c r="E20" s="616" t="s">
        <v>520</v>
      </c>
      <c r="F20" s="617">
        <v>1</v>
      </c>
      <c r="G20" s="618">
        <v>40000000</v>
      </c>
      <c r="H20" s="585">
        <v>0</v>
      </c>
      <c r="I20" s="585">
        <v>0</v>
      </c>
      <c r="J20" s="619">
        <v>40000000</v>
      </c>
      <c r="K20" s="620">
        <f t="shared" si="1"/>
        <v>100</v>
      </c>
      <c r="L20" s="621">
        <v>0</v>
      </c>
      <c r="M20" s="621">
        <v>0</v>
      </c>
      <c r="N20" s="621">
        <v>0</v>
      </c>
      <c r="O20" s="621">
        <v>0</v>
      </c>
      <c r="P20" s="621">
        <v>0</v>
      </c>
      <c r="Q20" s="620">
        <v>0</v>
      </c>
      <c r="R20" s="621">
        <v>0</v>
      </c>
      <c r="S20" s="622">
        <v>0</v>
      </c>
      <c r="T20" s="619">
        <v>0</v>
      </c>
      <c r="U20" s="619">
        <v>0</v>
      </c>
      <c r="V20" s="619">
        <v>0</v>
      </c>
      <c r="W20" s="620">
        <v>0</v>
      </c>
      <c r="X20" s="587">
        <v>0</v>
      </c>
      <c r="Y20" s="587">
        <v>0</v>
      </c>
      <c r="Z20" s="587">
        <v>0</v>
      </c>
      <c r="AA20" s="587">
        <v>0</v>
      </c>
      <c r="AB20" s="587">
        <v>0</v>
      </c>
      <c r="AC20" s="620">
        <v>0</v>
      </c>
      <c r="AD20" s="587">
        <v>0</v>
      </c>
      <c r="AE20" s="587">
        <v>0</v>
      </c>
      <c r="AF20" s="587">
        <v>0</v>
      </c>
      <c r="AG20" s="587">
        <v>0</v>
      </c>
      <c r="AH20" s="587">
        <v>0</v>
      </c>
      <c r="AI20" s="620">
        <v>0</v>
      </c>
      <c r="AJ20" s="623"/>
      <c r="AK20" s="11"/>
    </row>
    <row r="21" spans="2:37" s="610" customFormat="1" ht="13.5" thickBot="1">
      <c r="B21" s="597"/>
      <c r="C21" s="598"/>
      <c r="D21" s="624"/>
      <c r="E21" s="600" t="s">
        <v>514</v>
      </c>
      <c r="F21" s="601">
        <f>SUM(F16:F20)</f>
        <v>5</v>
      </c>
      <c r="G21" s="625">
        <f>SUM(G16:G20)</f>
        <v>120000000</v>
      </c>
      <c r="H21" s="626">
        <f>SUM(H16:H20)</f>
        <v>0</v>
      </c>
      <c r="I21" s="626">
        <f t="shared" ref="I21:J21" si="2">SUM(I16:I20)</f>
        <v>0</v>
      </c>
      <c r="J21" s="626">
        <f t="shared" si="2"/>
        <v>55000000</v>
      </c>
      <c r="K21" s="604">
        <f>J21/G21*100</f>
        <v>45.833333333333329</v>
      </c>
      <c r="L21" s="605">
        <v>0</v>
      </c>
      <c r="M21" s="606"/>
      <c r="N21" s="626"/>
      <c r="O21" s="626"/>
      <c r="P21" s="626"/>
      <c r="Q21" s="607">
        <v>0</v>
      </c>
      <c r="R21" s="608"/>
      <c r="S21" s="606"/>
      <c r="T21" s="626"/>
      <c r="U21" s="626"/>
      <c r="V21" s="626"/>
      <c r="W21" s="607">
        <v>0</v>
      </c>
      <c r="X21" s="608"/>
      <c r="Y21" s="608"/>
      <c r="Z21" s="626"/>
      <c r="AA21" s="626"/>
      <c r="AB21" s="626"/>
      <c r="AC21" s="607">
        <v>0</v>
      </c>
      <c r="AD21" s="608"/>
      <c r="AE21" s="608"/>
      <c r="AF21" s="626"/>
      <c r="AG21" s="626"/>
      <c r="AH21" s="626"/>
      <c r="AI21" s="607">
        <v>0</v>
      </c>
      <c r="AJ21" s="609"/>
      <c r="AK21" s="627"/>
    </row>
    <row r="22" spans="2:37" ht="18" customHeight="1">
      <c r="B22" s="579"/>
      <c r="C22" s="580"/>
      <c r="D22" s="628" t="s">
        <v>521</v>
      </c>
      <c r="E22" s="629"/>
      <c r="F22" s="590"/>
      <c r="G22" s="630">
        <v>0</v>
      </c>
      <c r="H22" s="587"/>
      <c r="I22" s="587"/>
      <c r="J22" s="587"/>
      <c r="K22" s="586"/>
      <c r="L22" s="587">
        <v>0</v>
      </c>
      <c r="M22" s="591">
        <v>0</v>
      </c>
      <c r="N22" s="591">
        <v>0</v>
      </c>
      <c r="O22" s="591">
        <v>0</v>
      </c>
      <c r="P22" s="591">
        <v>0</v>
      </c>
      <c r="Q22" s="586">
        <v>0</v>
      </c>
      <c r="R22" s="587">
        <v>0</v>
      </c>
      <c r="S22" s="587">
        <v>0</v>
      </c>
      <c r="T22" s="587">
        <v>0</v>
      </c>
      <c r="U22" s="587">
        <v>0</v>
      </c>
      <c r="V22" s="587">
        <v>0</v>
      </c>
      <c r="W22" s="586">
        <v>0</v>
      </c>
      <c r="X22" s="587">
        <v>0</v>
      </c>
      <c r="Y22" s="587">
        <v>0</v>
      </c>
      <c r="Z22" s="587">
        <v>0</v>
      </c>
      <c r="AA22" s="587">
        <v>0</v>
      </c>
      <c r="AB22" s="587">
        <v>0</v>
      </c>
      <c r="AC22" s="586">
        <v>0</v>
      </c>
      <c r="AD22" s="587">
        <v>0</v>
      </c>
      <c r="AE22" s="587">
        <v>0</v>
      </c>
      <c r="AF22" s="587">
        <v>0</v>
      </c>
      <c r="AG22" s="587">
        <v>0</v>
      </c>
      <c r="AH22" s="587">
        <v>0</v>
      </c>
      <c r="AI22" s="586">
        <v>0</v>
      </c>
      <c r="AJ22" s="588"/>
      <c r="AK22" s="11"/>
    </row>
    <row r="23" spans="2:37" ht="18" customHeight="1" thickBot="1">
      <c r="B23" s="615"/>
      <c r="C23" s="593"/>
      <c r="D23" s="631" t="s">
        <v>245</v>
      </c>
      <c r="E23" s="632"/>
      <c r="F23" s="617"/>
      <c r="G23" s="633">
        <v>0</v>
      </c>
      <c r="H23" s="621"/>
      <c r="I23" s="621"/>
      <c r="J23" s="621"/>
      <c r="K23" s="620"/>
      <c r="L23" s="621">
        <v>0</v>
      </c>
      <c r="M23" s="622">
        <v>0</v>
      </c>
      <c r="N23" s="622">
        <v>0</v>
      </c>
      <c r="O23" s="622">
        <v>0</v>
      </c>
      <c r="P23" s="622">
        <v>0</v>
      </c>
      <c r="Q23" s="620">
        <v>0</v>
      </c>
      <c r="R23" s="621">
        <v>0</v>
      </c>
      <c r="S23" s="621">
        <v>0</v>
      </c>
      <c r="T23" s="621">
        <v>0</v>
      </c>
      <c r="U23" s="621">
        <v>0</v>
      </c>
      <c r="V23" s="621">
        <v>0</v>
      </c>
      <c r="W23" s="620">
        <v>0</v>
      </c>
      <c r="X23" s="621">
        <v>0</v>
      </c>
      <c r="Y23" s="621">
        <v>0</v>
      </c>
      <c r="Z23" s="621">
        <v>0</v>
      </c>
      <c r="AA23" s="621">
        <v>0</v>
      </c>
      <c r="AB23" s="621">
        <v>0</v>
      </c>
      <c r="AC23" s="620">
        <v>0</v>
      </c>
      <c r="AD23" s="621">
        <v>0</v>
      </c>
      <c r="AE23" s="621">
        <v>0</v>
      </c>
      <c r="AF23" s="621">
        <v>0</v>
      </c>
      <c r="AG23" s="621">
        <v>0</v>
      </c>
      <c r="AH23" s="621">
        <v>0</v>
      </c>
      <c r="AI23" s="620">
        <v>0</v>
      </c>
      <c r="AJ23" s="623"/>
      <c r="AK23" s="11"/>
    </row>
    <row r="24" spans="2:37" ht="13.5" thickBot="1">
      <c r="B24" s="634"/>
      <c r="C24" s="635"/>
      <c r="D24" s="634"/>
      <c r="E24" s="636" t="s">
        <v>522</v>
      </c>
      <c r="F24" s="637">
        <f>F15+F21</f>
        <v>8</v>
      </c>
      <c r="G24" s="637">
        <f>G15+G21</f>
        <v>590000000</v>
      </c>
      <c r="H24" s="637"/>
      <c r="I24" s="637"/>
      <c r="J24" s="637">
        <f>J15+J21</f>
        <v>224540000</v>
      </c>
      <c r="K24" s="638">
        <f>J24/G24*100</f>
        <v>38.057627118644064</v>
      </c>
      <c r="L24" s="639">
        <v>0</v>
      </c>
      <c r="M24" s="639">
        <v>0</v>
      </c>
      <c r="N24" s="637"/>
      <c r="O24" s="637"/>
      <c r="P24" s="637"/>
      <c r="Q24" s="640">
        <v>0</v>
      </c>
      <c r="R24" s="639"/>
      <c r="S24" s="639"/>
      <c r="T24" s="637"/>
      <c r="U24" s="637"/>
      <c r="V24" s="637"/>
      <c r="W24" s="640">
        <v>0</v>
      </c>
      <c r="X24" s="639"/>
      <c r="Y24" s="639"/>
      <c r="Z24" s="637"/>
      <c r="AA24" s="637"/>
      <c r="AB24" s="637"/>
      <c r="AC24" s="640">
        <v>0</v>
      </c>
      <c r="AD24" s="639"/>
      <c r="AE24" s="639"/>
      <c r="AF24" s="637"/>
      <c r="AG24" s="637"/>
      <c r="AH24" s="637"/>
      <c r="AI24" s="607">
        <v>0</v>
      </c>
      <c r="AJ24" s="609"/>
      <c r="AK24" s="11"/>
    </row>
    <row r="25" spans="2:37">
      <c r="B25" s="434"/>
      <c r="C25" s="434"/>
      <c r="D25" s="434"/>
      <c r="E25" s="434"/>
      <c r="F25" s="641"/>
      <c r="G25" s="641"/>
      <c r="H25" s="641"/>
      <c r="I25" s="641"/>
      <c r="J25" s="641"/>
      <c r="K25" s="641"/>
      <c r="L25" s="642"/>
      <c r="M25" s="642"/>
      <c r="N25" s="641"/>
      <c r="O25" s="641"/>
      <c r="P25" s="641"/>
      <c r="Q25" s="641"/>
      <c r="R25" s="642"/>
      <c r="S25" s="642"/>
      <c r="T25" s="641"/>
      <c r="U25" s="641"/>
      <c r="V25" s="641"/>
      <c r="W25" s="641"/>
      <c r="X25" s="642"/>
      <c r="Y25" s="642"/>
      <c r="Z25" s="641"/>
      <c r="AA25" s="641"/>
      <c r="AB25" s="641"/>
      <c r="AC25" s="641"/>
      <c r="AD25" s="642"/>
      <c r="AE25" s="642"/>
      <c r="AF25" s="641"/>
      <c r="AG25" s="641"/>
      <c r="AH25" s="641"/>
      <c r="AI25" s="641"/>
      <c r="AJ25" s="641"/>
      <c r="AK25" s="11"/>
    </row>
    <row r="26" spans="2:37">
      <c r="B26" s="434"/>
      <c r="C26" s="434"/>
      <c r="D26" s="434"/>
      <c r="E26" s="434"/>
      <c r="F26" s="641"/>
      <c r="G26" s="641"/>
      <c r="H26" s="641"/>
      <c r="I26" s="641"/>
      <c r="J26" s="641"/>
      <c r="K26" s="641"/>
      <c r="L26" s="642"/>
      <c r="M26" s="642"/>
      <c r="N26" s="641"/>
      <c r="O26" s="641"/>
      <c r="P26" s="641"/>
      <c r="Q26" s="641"/>
      <c r="R26" s="642"/>
      <c r="S26" s="642"/>
      <c r="T26" s="641"/>
      <c r="U26" s="641"/>
      <c r="V26" s="641"/>
      <c r="W26" s="641"/>
      <c r="X26" s="642"/>
      <c r="Y26" s="642"/>
      <c r="Z26" s="641"/>
      <c r="AA26" s="641"/>
      <c r="AB26" s="641"/>
      <c r="AC26" s="641"/>
      <c r="AD26" s="642"/>
      <c r="AE26" s="642"/>
      <c r="AF26" s="641"/>
      <c r="AG26" s="641"/>
      <c r="AH26" s="641"/>
      <c r="AI26" s="641"/>
      <c r="AJ26" s="641"/>
      <c r="AK26" s="11"/>
    </row>
    <row r="27" spans="2:37">
      <c r="B27" s="434"/>
      <c r="C27" s="434"/>
      <c r="D27" s="434"/>
      <c r="E27" s="434"/>
      <c r="F27" s="641"/>
      <c r="G27" s="641"/>
      <c r="H27" s="641"/>
      <c r="I27" s="641"/>
      <c r="J27" s="641"/>
      <c r="K27" s="641"/>
      <c r="L27" s="641"/>
      <c r="M27" s="641"/>
      <c r="N27" s="641"/>
      <c r="O27" s="641"/>
      <c r="P27" s="641"/>
      <c r="Q27" s="641"/>
      <c r="R27" s="641"/>
      <c r="S27" s="641"/>
      <c r="T27" s="641"/>
      <c r="U27" s="641"/>
      <c r="V27" s="641"/>
      <c r="W27" s="641"/>
      <c r="X27" s="641"/>
      <c r="Y27" s="641"/>
      <c r="Z27" s="641"/>
      <c r="AA27" s="641"/>
      <c r="AB27" s="641"/>
      <c r="AC27" s="641"/>
      <c r="AD27" s="641"/>
      <c r="AE27" s="641"/>
      <c r="AF27" s="641"/>
      <c r="AG27" s="641"/>
      <c r="AH27" s="641"/>
      <c r="AI27" s="641"/>
      <c r="AJ27" s="641"/>
      <c r="AK27" s="11"/>
    </row>
    <row r="28" spans="2:37" ht="15.75" customHeight="1">
      <c r="B28" s="643"/>
      <c r="C28" s="643"/>
      <c r="D28" s="643"/>
      <c r="E28" s="643"/>
      <c r="F28" s="926" t="s">
        <v>45</v>
      </c>
      <c r="G28" s="926"/>
      <c r="H28" s="644"/>
      <c r="I28" s="644"/>
      <c r="J28" s="644"/>
      <c r="K28" s="644"/>
      <c r="L28" s="644" t="e">
        <f>SUM(#REF!)</f>
        <v>#REF!</v>
      </c>
      <c r="M28" s="555"/>
      <c r="N28" s="644"/>
      <c r="O28" s="644"/>
      <c r="P28" s="644"/>
      <c r="Q28" s="644"/>
      <c r="R28" s="11"/>
      <c r="S28" s="555"/>
      <c r="T28" s="644"/>
      <c r="U28" s="644"/>
      <c r="V28" s="644"/>
      <c r="W28" s="644"/>
      <c r="X28" s="11"/>
      <c r="Y28" s="11"/>
      <c r="Z28" s="644"/>
      <c r="AA28" s="927" t="s">
        <v>523</v>
      </c>
      <c r="AB28" s="927"/>
      <c r="AC28" s="927"/>
      <c r="AD28" s="927"/>
      <c r="AE28" s="927"/>
      <c r="AF28" s="927"/>
      <c r="AG28" s="927"/>
      <c r="AH28" s="645"/>
    </row>
    <row r="29" spans="2:37" ht="18">
      <c r="B29" s="11"/>
      <c r="C29" s="11"/>
      <c r="D29" s="11"/>
      <c r="E29" s="11"/>
      <c r="F29" s="553"/>
      <c r="G29" s="554"/>
      <c r="H29" s="555"/>
      <c r="I29" s="555"/>
      <c r="J29" s="555"/>
      <c r="K29" s="555"/>
      <c r="L29" s="11"/>
      <c r="M29" s="555"/>
      <c r="N29" s="555"/>
      <c r="O29" s="555"/>
      <c r="P29" s="555"/>
      <c r="Q29" s="555"/>
      <c r="R29" s="11"/>
      <c r="S29" s="555"/>
      <c r="T29" s="555"/>
      <c r="U29" s="555"/>
      <c r="V29" s="555"/>
      <c r="W29" s="555"/>
      <c r="X29" s="11"/>
      <c r="Y29" s="11"/>
      <c r="Z29" s="555"/>
      <c r="AA29" s="928" t="s">
        <v>524</v>
      </c>
      <c r="AB29" s="928"/>
      <c r="AC29" s="928"/>
      <c r="AD29" s="928"/>
      <c r="AE29" s="928"/>
      <c r="AF29" s="928"/>
      <c r="AG29" s="928"/>
      <c r="AH29" s="646"/>
    </row>
    <row r="30" spans="2:37" ht="18">
      <c r="B30" s="11"/>
      <c r="C30" s="11"/>
      <c r="D30" s="11"/>
      <c r="E30" s="11"/>
      <c r="F30" s="553"/>
      <c r="G30" s="554"/>
      <c r="H30" s="555"/>
      <c r="I30" s="555"/>
      <c r="J30" s="555"/>
      <c r="K30" s="555"/>
      <c r="L30" s="11"/>
      <c r="M30" s="555"/>
      <c r="N30" s="555"/>
      <c r="O30" s="555"/>
      <c r="P30" s="555"/>
      <c r="Q30" s="555"/>
      <c r="R30" s="11"/>
      <c r="S30" s="555"/>
      <c r="T30" s="555"/>
      <c r="U30" s="555"/>
      <c r="V30" s="555"/>
      <c r="W30" s="555"/>
      <c r="X30" s="11"/>
      <c r="Y30" s="11"/>
      <c r="Z30" s="555"/>
      <c r="AA30" s="647"/>
      <c r="AB30" s="647"/>
      <c r="AC30" s="647"/>
      <c r="AD30" s="393"/>
      <c r="AE30" s="648"/>
      <c r="AF30" s="647"/>
      <c r="AG30" s="647"/>
      <c r="AH30" s="649"/>
      <c r="AI30" s="649"/>
      <c r="AJ30" s="649"/>
      <c r="AK30" s="650"/>
    </row>
    <row r="31" spans="2:37" ht="18">
      <c r="B31" s="11"/>
      <c r="C31" s="11"/>
      <c r="D31" s="11"/>
      <c r="E31" s="11"/>
      <c r="F31" s="553"/>
      <c r="G31" s="554"/>
      <c r="H31" s="555"/>
      <c r="I31" s="555"/>
      <c r="J31" s="555"/>
      <c r="K31" s="555"/>
      <c r="L31" s="11"/>
      <c r="M31" s="555"/>
      <c r="N31" s="555"/>
      <c r="O31" s="555"/>
      <c r="P31" s="555"/>
      <c r="Q31" s="555"/>
      <c r="R31" s="11"/>
      <c r="S31" s="555"/>
      <c r="T31" s="555"/>
      <c r="U31" s="555"/>
      <c r="V31" s="555"/>
      <c r="W31" s="555"/>
      <c r="X31" s="11"/>
      <c r="Y31" s="11"/>
      <c r="Z31" s="555"/>
      <c r="AA31" s="647"/>
      <c r="AB31" s="647"/>
      <c r="AC31" s="647"/>
      <c r="AD31" s="393"/>
      <c r="AE31" s="648"/>
      <c r="AF31" s="647"/>
      <c r="AG31" s="647"/>
      <c r="AH31" s="649"/>
      <c r="AI31" s="649"/>
      <c r="AJ31" s="649"/>
      <c r="AK31" s="651"/>
    </row>
    <row r="32" spans="2:37" ht="18">
      <c r="B32" s="11"/>
      <c r="C32" s="11"/>
      <c r="D32" s="11"/>
      <c r="E32" s="11"/>
      <c r="F32" s="553"/>
      <c r="G32" s="554"/>
      <c r="H32" s="555"/>
      <c r="I32" s="555"/>
      <c r="J32" s="555"/>
      <c r="K32" s="555"/>
      <c r="L32" s="11"/>
      <c r="M32" s="555"/>
      <c r="N32" s="555"/>
      <c r="O32" s="555"/>
      <c r="P32" s="555"/>
      <c r="Q32" s="555"/>
      <c r="R32" s="11"/>
      <c r="S32" s="555"/>
      <c r="T32" s="555"/>
      <c r="U32" s="555"/>
      <c r="V32" s="555"/>
      <c r="W32" s="555"/>
      <c r="X32" s="11"/>
      <c r="Y32" s="11"/>
      <c r="Z32" s="555"/>
      <c r="AA32" s="929" t="s">
        <v>525</v>
      </c>
      <c r="AB32" s="929"/>
      <c r="AC32" s="929"/>
      <c r="AD32" s="929"/>
      <c r="AE32" s="929"/>
      <c r="AF32" s="929"/>
      <c r="AG32" s="929"/>
      <c r="AH32" s="652"/>
    </row>
    <row r="33" spans="2:37" ht="18">
      <c r="B33" s="11"/>
      <c r="C33" s="11"/>
      <c r="D33" s="11"/>
      <c r="E33" s="11"/>
      <c r="F33" s="553"/>
      <c r="G33" s="554"/>
      <c r="H33" s="555"/>
      <c r="I33" s="555"/>
      <c r="J33" s="555"/>
      <c r="K33" s="555"/>
      <c r="L33" s="11"/>
      <c r="M33" s="555"/>
      <c r="N33" s="555"/>
      <c r="O33" s="555"/>
      <c r="P33" s="555"/>
      <c r="Q33" s="555"/>
      <c r="R33" s="11"/>
      <c r="S33" s="555"/>
      <c r="T33" s="555"/>
      <c r="U33" s="555"/>
      <c r="V33" s="555"/>
      <c r="W33" s="555"/>
      <c r="X33" s="11"/>
      <c r="Y33" s="11"/>
      <c r="Z33" s="555"/>
      <c r="AA33" s="653"/>
      <c r="AB33" s="653"/>
      <c r="AC33" s="653"/>
      <c r="AD33" s="653" t="s">
        <v>108</v>
      </c>
      <c r="AE33" s="653"/>
      <c r="AF33" s="653"/>
      <c r="AG33" s="653"/>
      <c r="AH33" s="652"/>
    </row>
    <row r="34" spans="2:37" ht="15.75" customHeight="1">
      <c r="B34" s="11"/>
      <c r="C34" s="11"/>
      <c r="D34" s="11"/>
      <c r="E34" s="11"/>
      <c r="F34" s="553"/>
      <c r="G34" s="554"/>
      <c r="H34" s="555"/>
      <c r="I34" s="555"/>
      <c r="J34" s="555"/>
      <c r="K34" s="555"/>
      <c r="L34" s="11"/>
      <c r="M34" s="555"/>
      <c r="N34" s="555"/>
      <c r="O34" s="555"/>
      <c r="P34" s="555"/>
      <c r="Q34" s="555"/>
      <c r="R34" s="11"/>
      <c r="S34" s="555"/>
      <c r="T34" s="555"/>
      <c r="U34" s="555"/>
      <c r="V34" s="555"/>
      <c r="W34" s="555"/>
      <c r="X34" s="11"/>
      <c r="Y34" s="11"/>
      <c r="Z34" s="555"/>
      <c r="AA34" s="922" t="s">
        <v>526</v>
      </c>
      <c r="AB34" s="922"/>
      <c r="AC34" s="922"/>
      <c r="AD34" s="922"/>
      <c r="AE34" s="922"/>
      <c r="AF34" s="922"/>
      <c r="AG34" s="922"/>
      <c r="AH34" s="645"/>
    </row>
    <row r="35" spans="2:37" ht="15.75">
      <c r="B35" s="11"/>
      <c r="C35" s="11"/>
      <c r="D35" s="11"/>
      <c r="E35" s="11"/>
      <c r="F35" s="553"/>
      <c r="G35" s="554"/>
      <c r="H35" s="555"/>
      <c r="I35" s="555"/>
      <c r="J35" s="555"/>
      <c r="K35" s="555"/>
      <c r="L35" s="11"/>
      <c r="M35" s="555"/>
      <c r="N35" s="555"/>
      <c r="O35" s="555"/>
      <c r="P35" s="555"/>
      <c r="Q35" s="555"/>
      <c r="R35" s="11"/>
      <c r="S35" s="555"/>
      <c r="T35" s="555"/>
      <c r="U35" s="555"/>
      <c r="V35" s="555"/>
      <c r="W35" s="555"/>
      <c r="X35" s="11"/>
      <c r="Y35" s="11"/>
      <c r="Z35" s="555"/>
      <c r="AA35" s="555"/>
      <c r="AB35" s="555"/>
      <c r="AC35" s="555"/>
      <c r="AD35" s="19"/>
      <c r="AE35" s="19"/>
      <c r="AF35" s="649"/>
      <c r="AG35" s="649"/>
      <c r="AH35" s="649"/>
      <c r="AI35" s="649"/>
      <c r="AJ35" s="649"/>
      <c r="AK35" s="19"/>
    </row>
  </sheetData>
  <mergeCells count="26">
    <mergeCell ref="B1:AI1"/>
    <mergeCell ref="B2:AI2"/>
    <mergeCell ref="B7:B10"/>
    <mergeCell ref="D7:D10"/>
    <mergeCell ref="E7:E10"/>
    <mergeCell ref="F7:F10"/>
    <mergeCell ref="G7:G10"/>
    <mergeCell ref="H7:AI7"/>
    <mergeCell ref="AD9:AI9"/>
    <mergeCell ref="AJ7:AJ10"/>
    <mergeCell ref="H8:K8"/>
    <mergeCell ref="L8:Q8"/>
    <mergeCell ref="R8:W8"/>
    <mergeCell ref="X8:AC8"/>
    <mergeCell ref="AD8:AI8"/>
    <mergeCell ref="H9:K9"/>
    <mergeCell ref="L9:Q9"/>
    <mergeCell ref="R9:W9"/>
    <mergeCell ref="X9:AC9"/>
    <mergeCell ref="AA34:AG34"/>
    <mergeCell ref="D12:D14"/>
    <mergeCell ref="D16:D20"/>
    <mergeCell ref="F28:G28"/>
    <mergeCell ref="AA28:AG28"/>
    <mergeCell ref="AA29:AG29"/>
    <mergeCell ref="AA32:AG3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1:AK32"/>
  <sheetViews>
    <sheetView topLeftCell="A10" workbookViewId="0">
      <selection activeCell="B3" sqref="B3"/>
    </sheetView>
  </sheetViews>
  <sheetFormatPr defaultRowHeight="12.75"/>
  <cols>
    <col min="1" max="1" width="0.5703125" style="549" customWidth="1"/>
    <col min="2" max="2" width="3.85546875" style="549" customWidth="1"/>
    <col min="3" max="3" width="3.5703125" style="549" hidden="1" customWidth="1"/>
    <col min="4" max="4" width="13.140625" style="549" customWidth="1"/>
    <col min="5" max="5" width="29.28515625" style="549" customWidth="1"/>
    <col min="6" max="6" width="4.7109375" style="654" customWidth="1"/>
    <col min="7" max="7" width="10.7109375" style="654" customWidth="1"/>
    <col min="8" max="8" width="11" style="549" customWidth="1"/>
    <col min="9" max="9" width="9" style="549" customWidth="1"/>
    <col min="10" max="10" width="10.42578125" style="549" customWidth="1"/>
    <col min="11" max="11" width="5.85546875" style="549" customWidth="1"/>
    <col min="12" max="13" width="5.140625" style="549" customWidth="1"/>
    <col min="14" max="14" width="6" style="549" customWidth="1"/>
    <col min="15" max="19" width="5.140625" style="549" customWidth="1"/>
    <col min="20" max="20" width="5.5703125" style="549" customWidth="1"/>
    <col min="21" max="25" width="5.140625" style="549" customWidth="1"/>
    <col min="26" max="26" width="4.28515625" style="549" customWidth="1"/>
    <col min="27" max="31" width="5.140625" style="549" customWidth="1"/>
    <col min="32" max="32" width="4.7109375" style="549" customWidth="1"/>
    <col min="33" max="34" width="5.140625" style="549" customWidth="1"/>
    <col min="35" max="35" width="4.5703125" style="549" customWidth="1"/>
    <col min="36" max="36" width="4.85546875" style="549" customWidth="1"/>
    <col min="37" max="16384" width="9.140625" style="549"/>
  </cols>
  <sheetData>
    <row r="1" spans="2:36" ht="15.75">
      <c r="B1" s="941" t="s">
        <v>496</v>
      </c>
      <c r="C1" s="941"/>
      <c r="D1" s="941"/>
      <c r="E1" s="941"/>
      <c r="F1" s="941"/>
      <c r="G1" s="941"/>
      <c r="H1" s="941"/>
      <c r="I1" s="941"/>
      <c r="J1" s="941"/>
      <c r="K1" s="941"/>
      <c r="L1" s="941"/>
      <c r="M1" s="941"/>
      <c r="N1" s="941"/>
      <c r="O1" s="941"/>
      <c r="P1" s="941"/>
      <c r="Q1" s="941"/>
      <c r="R1" s="941"/>
      <c r="S1" s="941"/>
      <c r="T1" s="941"/>
      <c r="U1" s="941"/>
      <c r="V1" s="941"/>
      <c r="W1" s="941"/>
      <c r="X1" s="941"/>
      <c r="Y1" s="941"/>
      <c r="Z1" s="941"/>
      <c r="AA1" s="941"/>
      <c r="AB1" s="941"/>
      <c r="AC1" s="941"/>
      <c r="AD1" s="941"/>
      <c r="AE1" s="941"/>
      <c r="AF1" s="941"/>
      <c r="AG1" s="941"/>
      <c r="AH1" s="941"/>
      <c r="AI1" s="941"/>
      <c r="AJ1" s="548"/>
    </row>
    <row r="2" spans="2:36" ht="15.75">
      <c r="B2" s="941" t="s">
        <v>557</v>
      </c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941"/>
      <c r="N2" s="941"/>
      <c r="O2" s="941"/>
      <c r="P2" s="941"/>
      <c r="Q2" s="941"/>
      <c r="R2" s="941"/>
      <c r="S2" s="941"/>
      <c r="T2" s="941"/>
      <c r="U2" s="941"/>
      <c r="V2" s="941"/>
      <c r="W2" s="941"/>
      <c r="X2" s="941"/>
      <c r="Y2" s="941"/>
      <c r="Z2" s="941"/>
      <c r="AA2" s="941"/>
      <c r="AB2" s="941"/>
      <c r="AC2" s="941"/>
      <c r="AD2" s="941"/>
      <c r="AE2" s="941"/>
      <c r="AF2" s="941"/>
      <c r="AG2" s="941"/>
      <c r="AH2" s="941"/>
      <c r="AI2" s="941"/>
      <c r="AJ2" s="548"/>
    </row>
    <row r="3" spans="2:36"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0"/>
      <c r="AA3" s="550"/>
      <c r="AB3" s="550"/>
      <c r="AC3" s="550"/>
      <c r="AD3" s="550"/>
      <c r="AE3" s="550"/>
      <c r="AF3" s="550"/>
      <c r="AG3" s="550"/>
      <c r="AH3" s="550"/>
      <c r="AI3" s="550"/>
      <c r="AJ3" s="550"/>
    </row>
    <row r="4" spans="2:36" ht="15.75">
      <c r="B4" s="551" t="s">
        <v>527</v>
      </c>
      <c r="C4" s="551"/>
      <c r="D4" s="551"/>
      <c r="E4" s="551"/>
      <c r="F4" s="550"/>
      <c r="G4" s="550"/>
      <c r="H4" s="552"/>
      <c r="I4" s="552"/>
      <c r="J4" s="552"/>
      <c r="K4" s="552"/>
      <c r="L4" s="550"/>
      <c r="M4" s="550"/>
      <c r="N4" s="552"/>
      <c r="O4" s="552"/>
      <c r="P4" s="552"/>
      <c r="Q4" s="552"/>
      <c r="R4" s="550"/>
      <c r="S4" s="550"/>
      <c r="T4" s="552"/>
      <c r="U4" s="552"/>
      <c r="V4" s="552"/>
      <c r="W4" s="552"/>
      <c r="X4" s="550"/>
      <c r="Y4" s="550"/>
      <c r="Z4" s="552"/>
      <c r="AA4" s="552"/>
      <c r="AB4" s="552"/>
      <c r="AC4" s="552"/>
      <c r="AD4" s="550"/>
      <c r="AE4" s="550"/>
      <c r="AF4" s="552"/>
      <c r="AG4" s="552"/>
      <c r="AH4" s="552"/>
      <c r="AI4" s="552"/>
      <c r="AJ4" s="552"/>
    </row>
    <row r="5" spans="2:36">
      <c r="B5" s="552"/>
      <c r="C5" s="552"/>
      <c r="D5" s="552"/>
      <c r="E5" s="552"/>
      <c r="F5" s="550"/>
      <c r="G5" s="550"/>
      <c r="H5" s="552"/>
      <c r="I5" s="552"/>
      <c r="J5" s="552"/>
      <c r="K5" s="552"/>
      <c r="L5" s="550"/>
      <c r="M5" s="550"/>
      <c r="N5" s="552"/>
      <c r="O5" s="552"/>
      <c r="P5" s="552"/>
      <c r="Q5" s="552"/>
      <c r="R5" s="550"/>
      <c r="S5" s="550"/>
      <c r="T5" s="552"/>
      <c r="U5" s="552"/>
      <c r="V5" s="552"/>
      <c r="W5" s="552"/>
      <c r="X5" s="550"/>
      <c r="Y5" s="550"/>
      <c r="Z5" s="552"/>
      <c r="AA5" s="552"/>
      <c r="AB5" s="552"/>
      <c r="AC5" s="552"/>
      <c r="AD5" s="550"/>
      <c r="AE5" s="550"/>
      <c r="AF5" s="552"/>
      <c r="AG5" s="552"/>
      <c r="AH5" s="552"/>
      <c r="AI5" s="552"/>
      <c r="AJ5" s="552"/>
    </row>
    <row r="6" spans="2:36" ht="13.5" thickBot="1">
      <c r="B6" s="11"/>
      <c r="C6" s="11"/>
      <c r="D6" s="11"/>
      <c r="E6" s="11"/>
      <c r="F6" s="553"/>
      <c r="G6" s="554"/>
      <c r="H6" s="555"/>
      <c r="I6" s="555"/>
      <c r="J6" s="555"/>
      <c r="K6" s="555"/>
      <c r="L6" s="11"/>
      <c r="M6" s="555"/>
      <c r="N6" s="555"/>
      <c r="O6" s="555"/>
      <c r="P6" s="555"/>
      <c r="Q6" s="555"/>
      <c r="R6" s="11"/>
      <c r="S6" s="555"/>
      <c r="T6" s="555"/>
      <c r="U6" s="555"/>
      <c r="V6" s="555"/>
      <c r="W6" s="555"/>
      <c r="X6" s="11"/>
      <c r="Y6" s="11"/>
      <c r="Z6" s="555"/>
      <c r="AA6" s="555"/>
      <c r="AB6" s="555"/>
      <c r="AC6" s="555"/>
      <c r="AD6" s="11"/>
      <c r="AE6" s="11"/>
      <c r="AF6" s="555"/>
      <c r="AG6" s="555"/>
      <c r="AH6" s="555"/>
      <c r="AI6" s="555"/>
      <c r="AJ6" s="555"/>
    </row>
    <row r="7" spans="2:36" ht="24" customHeight="1" thickBot="1">
      <c r="B7" s="942" t="s">
        <v>3</v>
      </c>
      <c r="C7" s="556"/>
      <c r="D7" s="945" t="s">
        <v>265</v>
      </c>
      <c r="E7" s="942" t="s">
        <v>498</v>
      </c>
      <c r="F7" s="947" t="s">
        <v>292</v>
      </c>
      <c r="G7" s="950" t="s">
        <v>293</v>
      </c>
      <c r="H7" s="954" t="s">
        <v>499</v>
      </c>
      <c r="I7" s="955"/>
      <c r="J7" s="955"/>
      <c r="K7" s="955"/>
      <c r="L7" s="955"/>
      <c r="M7" s="955"/>
      <c r="N7" s="955"/>
      <c r="O7" s="955"/>
      <c r="P7" s="955"/>
      <c r="Q7" s="955"/>
      <c r="R7" s="955"/>
      <c r="S7" s="955"/>
      <c r="T7" s="955"/>
      <c r="U7" s="955"/>
      <c r="V7" s="955"/>
      <c r="W7" s="955"/>
      <c r="X7" s="955"/>
      <c r="Y7" s="955"/>
      <c r="Z7" s="955"/>
      <c r="AA7" s="955"/>
      <c r="AB7" s="955"/>
      <c r="AC7" s="955"/>
      <c r="AD7" s="955"/>
      <c r="AE7" s="955"/>
      <c r="AF7" s="955"/>
      <c r="AG7" s="955"/>
      <c r="AH7" s="955"/>
      <c r="AI7" s="955"/>
      <c r="AJ7" s="930" t="s">
        <v>9</v>
      </c>
    </row>
    <row r="8" spans="2:36" ht="15.75" customHeight="1" thickBot="1">
      <c r="B8" s="943"/>
      <c r="C8" s="557"/>
      <c r="D8" s="945"/>
      <c r="E8" s="943"/>
      <c r="F8" s="948"/>
      <c r="G8" s="951"/>
      <c r="H8" s="933" t="s">
        <v>500</v>
      </c>
      <c r="I8" s="934"/>
      <c r="J8" s="934"/>
      <c r="K8" s="935"/>
      <c r="L8" s="933" t="s">
        <v>501</v>
      </c>
      <c r="M8" s="934"/>
      <c r="N8" s="934"/>
      <c r="O8" s="934"/>
      <c r="P8" s="934"/>
      <c r="Q8" s="935"/>
      <c r="R8" s="933" t="s">
        <v>502</v>
      </c>
      <c r="S8" s="936"/>
      <c r="T8" s="936"/>
      <c r="U8" s="936"/>
      <c r="V8" s="936"/>
      <c r="W8" s="937"/>
      <c r="X8" s="933" t="s">
        <v>503</v>
      </c>
      <c r="Y8" s="934"/>
      <c r="Z8" s="934"/>
      <c r="AA8" s="934"/>
      <c r="AB8" s="934"/>
      <c r="AC8" s="935"/>
      <c r="AD8" s="933" t="s">
        <v>504</v>
      </c>
      <c r="AE8" s="934"/>
      <c r="AF8" s="934"/>
      <c r="AG8" s="934"/>
      <c r="AH8" s="934"/>
      <c r="AI8" s="934"/>
      <c r="AJ8" s="931"/>
    </row>
    <row r="9" spans="2:36" s="559" customFormat="1" ht="15" customHeight="1" thickBot="1">
      <c r="B9" s="943"/>
      <c r="C9" s="558"/>
      <c r="D9" s="945"/>
      <c r="E9" s="943"/>
      <c r="F9" s="948"/>
      <c r="G9" s="952"/>
      <c r="H9" s="938" t="s">
        <v>505</v>
      </c>
      <c r="I9" s="939"/>
      <c r="J9" s="939"/>
      <c r="K9" s="940"/>
      <c r="L9" s="938" t="s">
        <v>505</v>
      </c>
      <c r="M9" s="939"/>
      <c r="N9" s="939"/>
      <c r="O9" s="939"/>
      <c r="P9" s="939"/>
      <c r="Q9" s="940"/>
      <c r="R9" s="938" t="s">
        <v>505</v>
      </c>
      <c r="S9" s="939"/>
      <c r="T9" s="939"/>
      <c r="U9" s="939"/>
      <c r="V9" s="939"/>
      <c r="W9" s="940"/>
      <c r="X9" s="938" t="s">
        <v>505</v>
      </c>
      <c r="Y9" s="939"/>
      <c r="Z9" s="939"/>
      <c r="AA9" s="939"/>
      <c r="AB9" s="939"/>
      <c r="AC9" s="940"/>
      <c r="AD9" s="938" t="s">
        <v>505</v>
      </c>
      <c r="AE9" s="939"/>
      <c r="AF9" s="939"/>
      <c r="AG9" s="939"/>
      <c r="AH9" s="939"/>
      <c r="AI9" s="939"/>
      <c r="AJ9" s="931"/>
    </row>
    <row r="10" spans="2:36" s="567" customFormat="1" ht="30" customHeight="1" thickBot="1">
      <c r="B10" s="944"/>
      <c r="C10" s="557"/>
      <c r="D10" s="946"/>
      <c r="E10" s="944"/>
      <c r="F10" s="949"/>
      <c r="G10" s="953"/>
      <c r="H10" s="560" t="s">
        <v>506</v>
      </c>
      <c r="I10" s="561" t="s">
        <v>507</v>
      </c>
      <c r="J10" s="562" t="s">
        <v>508</v>
      </c>
      <c r="K10" s="563">
        <v>1</v>
      </c>
      <c r="L10" s="564" t="s">
        <v>292</v>
      </c>
      <c r="M10" s="565" t="s">
        <v>293</v>
      </c>
      <c r="N10" s="560" t="s">
        <v>506</v>
      </c>
      <c r="O10" s="561" t="s">
        <v>507</v>
      </c>
      <c r="P10" s="562" t="s">
        <v>508</v>
      </c>
      <c r="Q10" s="563">
        <v>1</v>
      </c>
      <c r="R10" s="564" t="s">
        <v>292</v>
      </c>
      <c r="S10" s="565" t="s">
        <v>293</v>
      </c>
      <c r="T10" s="560" t="s">
        <v>506</v>
      </c>
      <c r="U10" s="561" t="s">
        <v>507</v>
      </c>
      <c r="V10" s="562" t="s">
        <v>508</v>
      </c>
      <c r="W10" s="563">
        <v>1</v>
      </c>
      <c r="X10" s="564" t="s">
        <v>509</v>
      </c>
      <c r="Y10" s="564" t="s">
        <v>293</v>
      </c>
      <c r="Z10" s="560" t="s">
        <v>506</v>
      </c>
      <c r="AA10" s="561" t="s">
        <v>507</v>
      </c>
      <c r="AB10" s="562" t="s">
        <v>508</v>
      </c>
      <c r="AC10" s="563">
        <v>1</v>
      </c>
      <c r="AD10" s="564" t="s">
        <v>292</v>
      </c>
      <c r="AE10" s="564" t="s">
        <v>293</v>
      </c>
      <c r="AF10" s="560" t="s">
        <v>506</v>
      </c>
      <c r="AG10" s="561" t="s">
        <v>507</v>
      </c>
      <c r="AH10" s="562" t="s">
        <v>508</v>
      </c>
      <c r="AI10" s="566">
        <v>1</v>
      </c>
      <c r="AJ10" s="932"/>
    </row>
    <row r="11" spans="2:36" s="578" customFormat="1" ht="12.75" customHeight="1" thickBot="1">
      <c r="B11" s="568"/>
      <c r="C11" s="569"/>
      <c r="D11" s="568"/>
      <c r="E11" s="568"/>
      <c r="F11" s="570"/>
      <c r="G11" s="571"/>
      <c r="H11" s="572"/>
      <c r="I11" s="573"/>
      <c r="J11" s="572"/>
      <c r="K11" s="572"/>
      <c r="L11" s="574"/>
      <c r="M11" s="575"/>
      <c r="N11" s="572"/>
      <c r="O11" s="573"/>
      <c r="P11" s="572"/>
      <c r="Q11" s="572"/>
      <c r="R11" s="574"/>
      <c r="S11" s="575"/>
      <c r="T11" s="572"/>
      <c r="U11" s="573"/>
      <c r="V11" s="572"/>
      <c r="W11" s="572"/>
      <c r="X11" s="574"/>
      <c r="Y11" s="574"/>
      <c r="Z11" s="572"/>
      <c r="AA11" s="573"/>
      <c r="AB11" s="572"/>
      <c r="AC11" s="572"/>
      <c r="AD11" s="574"/>
      <c r="AE11" s="576"/>
      <c r="AF11" s="572"/>
      <c r="AG11" s="573"/>
      <c r="AH11" s="572"/>
      <c r="AI11" s="572"/>
      <c r="AJ11" s="577"/>
    </row>
    <row r="12" spans="2:36" ht="29.25" customHeight="1">
      <c r="B12" s="579">
        <v>1</v>
      </c>
      <c r="C12" s="580"/>
      <c r="D12" s="923" t="s">
        <v>290</v>
      </c>
      <c r="E12" s="581" t="s">
        <v>510</v>
      </c>
      <c r="F12" s="582">
        <v>1</v>
      </c>
      <c r="G12" s="583">
        <v>200000000</v>
      </c>
      <c r="H12" s="662">
        <v>199258000</v>
      </c>
      <c r="I12" s="663" t="s">
        <v>528</v>
      </c>
      <c r="J12" s="584">
        <f>H12</f>
        <v>199258000</v>
      </c>
      <c r="K12" s="586">
        <f>J12/G12*100</f>
        <v>99.629000000000005</v>
      </c>
      <c r="L12" s="587">
        <v>0</v>
      </c>
      <c r="M12" s="587">
        <v>0</v>
      </c>
      <c r="N12" s="587">
        <v>0</v>
      </c>
      <c r="O12" s="587">
        <v>0</v>
      </c>
      <c r="P12" s="587">
        <v>0</v>
      </c>
      <c r="Q12" s="586">
        <v>0</v>
      </c>
      <c r="R12" s="587">
        <v>0</v>
      </c>
      <c r="S12" s="587">
        <v>0</v>
      </c>
      <c r="T12" s="587">
        <v>0</v>
      </c>
      <c r="U12" s="587">
        <v>0</v>
      </c>
      <c r="V12" s="587">
        <v>0</v>
      </c>
      <c r="W12" s="586">
        <v>0</v>
      </c>
      <c r="X12" s="587">
        <v>0</v>
      </c>
      <c r="Y12" s="587">
        <v>0</v>
      </c>
      <c r="Z12" s="587">
        <v>0</v>
      </c>
      <c r="AA12" s="587">
        <v>0</v>
      </c>
      <c r="AB12" s="587">
        <v>0</v>
      </c>
      <c r="AC12" s="586">
        <v>0</v>
      </c>
      <c r="AD12" s="587">
        <v>0</v>
      </c>
      <c r="AE12" s="587">
        <v>0</v>
      </c>
      <c r="AF12" s="587">
        <v>0</v>
      </c>
      <c r="AG12" s="587">
        <v>0</v>
      </c>
      <c r="AH12" s="587">
        <v>0</v>
      </c>
      <c r="AI12" s="586">
        <v>0</v>
      </c>
      <c r="AJ12" s="588"/>
    </row>
    <row r="13" spans="2:36" ht="41.25" customHeight="1" thickBot="1">
      <c r="B13" s="589">
        <v>2</v>
      </c>
      <c r="C13" s="580"/>
      <c r="D13" s="924"/>
      <c r="E13" s="581" t="s">
        <v>532</v>
      </c>
      <c r="F13" s="590">
        <v>1</v>
      </c>
      <c r="G13" s="583">
        <v>50000000</v>
      </c>
      <c r="H13" s="585">
        <v>0</v>
      </c>
      <c r="I13" s="585">
        <v>0</v>
      </c>
      <c r="J13" s="585">
        <v>0</v>
      </c>
      <c r="K13" s="586">
        <f t="shared" ref="K13" si="0">J13/G13*100</f>
        <v>0</v>
      </c>
      <c r="L13" s="587">
        <v>0</v>
      </c>
      <c r="M13" s="591">
        <v>0</v>
      </c>
      <c r="N13" s="585">
        <v>0</v>
      </c>
      <c r="O13" s="585">
        <v>0</v>
      </c>
      <c r="P13" s="585">
        <v>0</v>
      </c>
      <c r="Q13" s="586">
        <v>0</v>
      </c>
      <c r="R13" s="587">
        <v>0</v>
      </c>
      <c r="S13" s="591">
        <v>0</v>
      </c>
      <c r="T13" s="585">
        <v>0</v>
      </c>
      <c r="U13" s="585">
        <v>0</v>
      </c>
      <c r="V13" s="585">
        <v>0</v>
      </c>
      <c r="W13" s="586">
        <v>0</v>
      </c>
      <c r="X13" s="587">
        <v>0</v>
      </c>
      <c r="Y13" s="587">
        <v>0</v>
      </c>
      <c r="Z13" s="585">
        <v>0</v>
      </c>
      <c r="AA13" s="585">
        <v>0</v>
      </c>
      <c r="AB13" s="585">
        <v>0</v>
      </c>
      <c r="AC13" s="586">
        <v>0</v>
      </c>
      <c r="AD13" s="587">
        <v>0</v>
      </c>
      <c r="AE13" s="587">
        <v>0</v>
      </c>
      <c r="AF13" s="585">
        <v>0</v>
      </c>
      <c r="AG13" s="585">
        <v>0</v>
      </c>
      <c r="AH13" s="585">
        <v>0</v>
      </c>
      <c r="AI13" s="586">
        <v>0</v>
      </c>
      <c r="AJ13" s="592"/>
    </row>
    <row r="14" spans="2:36" s="610" customFormat="1" ht="13.5" thickBot="1">
      <c r="B14" s="597"/>
      <c r="C14" s="598"/>
      <c r="D14" s="599"/>
      <c r="E14" s="600" t="s">
        <v>514</v>
      </c>
      <c r="F14" s="601">
        <f>SUM(F12:F13)</f>
        <v>2</v>
      </c>
      <c r="G14" s="602">
        <f>SUM(G12:G13)</f>
        <v>250000000</v>
      </c>
      <c r="H14" s="603">
        <f>SUM(H12:H13)</f>
        <v>199258000</v>
      </c>
      <c r="I14" s="603">
        <f>SUM(I12:I13)</f>
        <v>0</v>
      </c>
      <c r="J14" s="603">
        <f>SUM(J12:J13)</f>
        <v>199258000</v>
      </c>
      <c r="K14" s="604">
        <f>J14/G14*100</f>
        <v>79.703199999999995</v>
      </c>
      <c r="L14" s="605">
        <v>0</v>
      </c>
      <c r="M14" s="606"/>
      <c r="N14" s="603"/>
      <c r="O14" s="603"/>
      <c r="P14" s="603"/>
      <c r="Q14" s="607">
        <v>0</v>
      </c>
      <c r="R14" s="608"/>
      <c r="S14" s="606"/>
      <c r="T14" s="603"/>
      <c r="U14" s="603"/>
      <c r="V14" s="603"/>
      <c r="W14" s="607">
        <v>0</v>
      </c>
      <c r="X14" s="608"/>
      <c r="Y14" s="608"/>
      <c r="Z14" s="603"/>
      <c r="AA14" s="603"/>
      <c r="AB14" s="603"/>
      <c r="AC14" s="607">
        <v>0</v>
      </c>
      <c r="AD14" s="608"/>
      <c r="AE14" s="608"/>
      <c r="AF14" s="603"/>
      <c r="AG14" s="603"/>
      <c r="AH14" s="603"/>
      <c r="AI14" s="607">
        <v>0</v>
      </c>
      <c r="AJ14" s="609"/>
    </row>
    <row r="15" spans="2:36" ht="27.75" customHeight="1">
      <c r="B15" s="579">
        <v>1</v>
      </c>
      <c r="C15" s="580"/>
      <c r="D15" s="923" t="s">
        <v>515</v>
      </c>
      <c r="E15" s="611" t="s">
        <v>516</v>
      </c>
      <c r="F15" s="590">
        <v>2</v>
      </c>
      <c r="G15" s="612">
        <v>40000000</v>
      </c>
      <c r="H15" s="585">
        <v>40000000</v>
      </c>
      <c r="I15" s="585">
        <v>0</v>
      </c>
      <c r="J15" s="585">
        <f>H15</f>
        <v>40000000</v>
      </c>
      <c r="K15" s="586">
        <f t="shared" ref="K15:K17" si="1">J15/G15*100</f>
        <v>100</v>
      </c>
      <c r="L15" s="587">
        <v>0</v>
      </c>
      <c r="M15" s="587">
        <v>0</v>
      </c>
      <c r="N15" s="587">
        <v>0</v>
      </c>
      <c r="O15" s="587">
        <v>0</v>
      </c>
      <c r="P15" s="587">
        <v>0</v>
      </c>
      <c r="Q15" s="586">
        <v>0</v>
      </c>
      <c r="R15" s="587">
        <v>0</v>
      </c>
      <c r="S15" s="591">
        <v>0</v>
      </c>
      <c r="T15" s="585">
        <v>0</v>
      </c>
      <c r="U15" s="585">
        <v>0</v>
      </c>
      <c r="V15" s="585">
        <v>0</v>
      </c>
      <c r="W15" s="586">
        <v>0</v>
      </c>
      <c r="X15" s="587">
        <v>0</v>
      </c>
      <c r="Y15" s="587">
        <v>0</v>
      </c>
      <c r="Z15" s="587">
        <v>0</v>
      </c>
      <c r="AA15" s="587">
        <v>0</v>
      </c>
      <c r="AB15" s="587">
        <v>0</v>
      </c>
      <c r="AC15" s="586">
        <v>0</v>
      </c>
      <c r="AD15" s="587">
        <v>0</v>
      </c>
      <c r="AE15" s="587">
        <v>0</v>
      </c>
      <c r="AF15" s="587">
        <v>0</v>
      </c>
      <c r="AG15" s="587">
        <v>0</v>
      </c>
      <c r="AH15" s="587">
        <v>0</v>
      </c>
      <c r="AI15" s="586">
        <v>0</v>
      </c>
      <c r="AJ15" s="588"/>
    </row>
    <row r="16" spans="2:36" ht="30" customHeight="1">
      <c r="B16" s="589">
        <v>2</v>
      </c>
      <c r="C16" s="580"/>
      <c r="D16" s="924"/>
      <c r="E16" s="581" t="s">
        <v>517</v>
      </c>
      <c r="F16" s="613">
        <v>5</v>
      </c>
      <c r="G16" s="614">
        <f>13500000+7000000+4500000</f>
        <v>25000000</v>
      </c>
      <c r="H16" s="585">
        <f>7000000+6500000+7000000</f>
        <v>20500000</v>
      </c>
      <c r="I16" s="585">
        <v>0</v>
      </c>
      <c r="J16" s="585">
        <f>H16</f>
        <v>20500000</v>
      </c>
      <c r="K16" s="586">
        <f t="shared" si="1"/>
        <v>82</v>
      </c>
      <c r="L16" s="587">
        <v>0</v>
      </c>
      <c r="M16" s="587">
        <v>0</v>
      </c>
      <c r="N16" s="587">
        <v>0</v>
      </c>
      <c r="O16" s="587">
        <v>0</v>
      </c>
      <c r="P16" s="587">
        <v>0</v>
      </c>
      <c r="Q16" s="586">
        <v>0</v>
      </c>
      <c r="R16" s="587">
        <v>0</v>
      </c>
      <c r="S16" s="591">
        <v>0</v>
      </c>
      <c r="T16" s="585">
        <v>0</v>
      </c>
      <c r="U16" s="585">
        <v>0</v>
      </c>
      <c r="V16" s="585">
        <v>0</v>
      </c>
      <c r="W16" s="586">
        <v>0</v>
      </c>
      <c r="X16" s="587">
        <v>0</v>
      </c>
      <c r="Y16" s="587">
        <v>0</v>
      </c>
      <c r="Z16" s="587">
        <v>0</v>
      </c>
      <c r="AA16" s="587">
        <v>0</v>
      </c>
      <c r="AB16" s="587">
        <v>0</v>
      </c>
      <c r="AC16" s="586">
        <v>0</v>
      </c>
      <c r="AD16" s="587">
        <v>0</v>
      </c>
      <c r="AE16" s="587">
        <v>0</v>
      </c>
      <c r="AF16" s="587">
        <v>0</v>
      </c>
      <c r="AG16" s="587">
        <v>0</v>
      </c>
      <c r="AH16" s="587">
        <v>0</v>
      </c>
      <c r="AI16" s="586">
        <v>0</v>
      </c>
      <c r="AJ16" s="592"/>
    </row>
    <row r="17" spans="2:37" ht="30" customHeight="1" thickBot="1">
      <c r="B17" s="589">
        <v>3</v>
      </c>
      <c r="C17" s="580"/>
      <c r="D17" s="924"/>
      <c r="E17" s="581" t="s">
        <v>531</v>
      </c>
      <c r="F17" s="613">
        <v>2</v>
      </c>
      <c r="G17" s="614">
        <v>2000000</v>
      </c>
      <c r="H17" s="585">
        <v>975000</v>
      </c>
      <c r="I17" s="585">
        <v>0</v>
      </c>
      <c r="J17" s="585">
        <f>H17</f>
        <v>975000</v>
      </c>
      <c r="K17" s="586">
        <f t="shared" si="1"/>
        <v>48.75</v>
      </c>
      <c r="L17" s="587"/>
      <c r="M17" s="587"/>
      <c r="N17" s="587"/>
      <c r="O17" s="587"/>
      <c r="P17" s="587"/>
      <c r="Q17" s="586"/>
      <c r="R17" s="587"/>
      <c r="S17" s="591"/>
      <c r="T17" s="585"/>
      <c r="U17" s="585"/>
      <c r="V17" s="585"/>
      <c r="W17" s="586"/>
      <c r="X17" s="587"/>
      <c r="Y17" s="587"/>
      <c r="Z17" s="587"/>
      <c r="AA17" s="587"/>
      <c r="AB17" s="587"/>
      <c r="AC17" s="586"/>
      <c r="AD17" s="587"/>
      <c r="AE17" s="587"/>
      <c r="AF17" s="587"/>
      <c r="AG17" s="587"/>
      <c r="AH17" s="587"/>
      <c r="AI17" s="586"/>
      <c r="AJ17" s="592"/>
    </row>
    <row r="18" spans="2:37" s="610" customFormat="1" ht="13.5" thickBot="1">
      <c r="B18" s="597"/>
      <c r="C18" s="598"/>
      <c r="D18" s="624"/>
      <c r="E18" s="600" t="s">
        <v>514</v>
      </c>
      <c r="F18" s="601">
        <f>SUM(F15:F17)</f>
        <v>9</v>
      </c>
      <c r="G18" s="625">
        <f>SUM(G15:G17)</f>
        <v>67000000</v>
      </c>
      <c r="H18" s="626">
        <f>SUM(H15:H17)</f>
        <v>61475000</v>
      </c>
      <c r="I18" s="626">
        <f>SUM(I15:I17)</f>
        <v>0</v>
      </c>
      <c r="J18" s="626">
        <f>SUM(J15:J17)</f>
        <v>61475000</v>
      </c>
      <c r="K18" s="604">
        <f>J18/G18*100</f>
        <v>91.75373134328359</v>
      </c>
      <c r="L18" s="605">
        <v>0</v>
      </c>
      <c r="M18" s="606"/>
      <c r="N18" s="626"/>
      <c r="O18" s="626"/>
      <c r="P18" s="626"/>
      <c r="Q18" s="607">
        <v>0</v>
      </c>
      <c r="R18" s="608"/>
      <c r="S18" s="606"/>
      <c r="T18" s="626"/>
      <c r="U18" s="626"/>
      <c r="V18" s="626"/>
      <c r="W18" s="607">
        <v>0</v>
      </c>
      <c r="X18" s="608"/>
      <c r="Y18" s="608"/>
      <c r="Z18" s="626"/>
      <c r="AA18" s="626"/>
      <c r="AB18" s="626"/>
      <c r="AC18" s="607">
        <v>0</v>
      </c>
      <c r="AD18" s="608"/>
      <c r="AE18" s="608"/>
      <c r="AF18" s="626"/>
      <c r="AG18" s="626"/>
      <c r="AH18" s="626"/>
      <c r="AI18" s="607">
        <v>0</v>
      </c>
      <c r="AJ18" s="609"/>
      <c r="AK18" s="627"/>
    </row>
    <row r="19" spans="2:37" ht="18" customHeight="1">
      <c r="B19" s="579"/>
      <c r="C19" s="580"/>
      <c r="D19" s="628" t="s">
        <v>521</v>
      </c>
      <c r="E19" s="629"/>
      <c r="F19" s="590"/>
      <c r="G19" s="630">
        <v>0</v>
      </c>
      <c r="H19" s="587"/>
      <c r="I19" s="587"/>
      <c r="J19" s="587"/>
      <c r="K19" s="586"/>
      <c r="L19" s="587">
        <v>0</v>
      </c>
      <c r="M19" s="591">
        <v>0</v>
      </c>
      <c r="N19" s="591">
        <v>0</v>
      </c>
      <c r="O19" s="591">
        <v>0</v>
      </c>
      <c r="P19" s="591">
        <v>0</v>
      </c>
      <c r="Q19" s="586">
        <v>0</v>
      </c>
      <c r="R19" s="587">
        <v>0</v>
      </c>
      <c r="S19" s="587">
        <v>0</v>
      </c>
      <c r="T19" s="587">
        <v>0</v>
      </c>
      <c r="U19" s="587">
        <v>0</v>
      </c>
      <c r="V19" s="587">
        <v>0</v>
      </c>
      <c r="W19" s="586">
        <v>0</v>
      </c>
      <c r="X19" s="587">
        <v>0</v>
      </c>
      <c r="Y19" s="587">
        <v>0</v>
      </c>
      <c r="Z19" s="587">
        <v>0</v>
      </c>
      <c r="AA19" s="587">
        <v>0</v>
      </c>
      <c r="AB19" s="587">
        <v>0</v>
      </c>
      <c r="AC19" s="586">
        <v>0</v>
      </c>
      <c r="AD19" s="587">
        <v>0</v>
      </c>
      <c r="AE19" s="587">
        <v>0</v>
      </c>
      <c r="AF19" s="587">
        <v>0</v>
      </c>
      <c r="AG19" s="587">
        <v>0</v>
      </c>
      <c r="AH19" s="587">
        <v>0</v>
      </c>
      <c r="AI19" s="586">
        <v>0</v>
      </c>
      <c r="AJ19" s="588"/>
      <c r="AK19" s="11"/>
    </row>
    <row r="20" spans="2:37" ht="18" customHeight="1" thickBot="1">
      <c r="B20" s="615"/>
      <c r="C20" s="593"/>
      <c r="D20" s="631" t="s">
        <v>245</v>
      </c>
      <c r="E20" s="632"/>
      <c r="F20" s="617"/>
      <c r="G20" s="633">
        <v>0</v>
      </c>
      <c r="H20" s="621"/>
      <c r="I20" s="621"/>
      <c r="J20" s="621"/>
      <c r="K20" s="620"/>
      <c r="L20" s="621">
        <v>0</v>
      </c>
      <c r="M20" s="622">
        <v>0</v>
      </c>
      <c r="N20" s="622">
        <v>0</v>
      </c>
      <c r="O20" s="622">
        <v>0</v>
      </c>
      <c r="P20" s="622">
        <v>0</v>
      </c>
      <c r="Q20" s="620">
        <v>0</v>
      </c>
      <c r="R20" s="621">
        <v>0</v>
      </c>
      <c r="S20" s="621">
        <v>0</v>
      </c>
      <c r="T20" s="621">
        <v>0</v>
      </c>
      <c r="U20" s="621">
        <v>0</v>
      </c>
      <c r="V20" s="621">
        <v>0</v>
      </c>
      <c r="W20" s="620">
        <v>0</v>
      </c>
      <c r="X20" s="621">
        <v>0</v>
      </c>
      <c r="Y20" s="621">
        <v>0</v>
      </c>
      <c r="Z20" s="621">
        <v>0</v>
      </c>
      <c r="AA20" s="621">
        <v>0</v>
      </c>
      <c r="AB20" s="621">
        <v>0</v>
      </c>
      <c r="AC20" s="620">
        <v>0</v>
      </c>
      <c r="AD20" s="621">
        <v>0</v>
      </c>
      <c r="AE20" s="621">
        <v>0</v>
      </c>
      <c r="AF20" s="621">
        <v>0</v>
      </c>
      <c r="AG20" s="621">
        <v>0</v>
      </c>
      <c r="AH20" s="621">
        <v>0</v>
      </c>
      <c r="AI20" s="620">
        <v>0</v>
      </c>
      <c r="AJ20" s="623"/>
      <c r="AK20" s="11"/>
    </row>
    <row r="21" spans="2:37" ht="13.5" thickBot="1">
      <c r="B21" s="634"/>
      <c r="C21" s="635"/>
      <c r="D21" s="634"/>
      <c r="E21" s="636" t="s">
        <v>522</v>
      </c>
      <c r="F21" s="637">
        <f>F14+F18</f>
        <v>11</v>
      </c>
      <c r="G21" s="637">
        <f>G14+G18</f>
        <v>317000000</v>
      </c>
      <c r="H21" s="637">
        <f>H14+H18</f>
        <v>260733000</v>
      </c>
      <c r="I21" s="637"/>
      <c r="J21" s="637">
        <f>J14+J18</f>
        <v>260733000</v>
      </c>
      <c r="K21" s="638">
        <f>J21/G21*100</f>
        <v>82.250157728706625</v>
      </c>
      <c r="L21" s="639">
        <v>0</v>
      </c>
      <c r="M21" s="639">
        <v>0</v>
      </c>
      <c r="N21" s="637"/>
      <c r="O21" s="637"/>
      <c r="P21" s="637"/>
      <c r="Q21" s="640">
        <v>0</v>
      </c>
      <c r="R21" s="639"/>
      <c r="S21" s="639"/>
      <c r="T21" s="637"/>
      <c r="U21" s="637"/>
      <c r="V21" s="637"/>
      <c r="W21" s="640">
        <v>0</v>
      </c>
      <c r="X21" s="639"/>
      <c r="Y21" s="639"/>
      <c r="Z21" s="637"/>
      <c r="AA21" s="637"/>
      <c r="AB21" s="637"/>
      <c r="AC21" s="640">
        <v>0</v>
      </c>
      <c r="AD21" s="639"/>
      <c r="AE21" s="639"/>
      <c r="AF21" s="637"/>
      <c r="AG21" s="637"/>
      <c r="AH21" s="637"/>
      <c r="AI21" s="607">
        <v>0</v>
      </c>
      <c r="AJ21" s="609"/>
      <c r="AK21" s="11"/>
    </row>
    <row r="22" spans="2:37">
      <c r="B22" s="434"/>
      <c r="C22" s="434"/>
      <c r="D22" s="434"/>
      <c r="E22" s="434"/>
      <c r="F22" s="641"/>
      <c r="G22" s="641"/>
      <c r="H22" s="641"/>
      <c r="I22" s="641"/>
      <c r="J22" s="641"/>
      <c r="K22" s="641"/>
      <c r="L22" s="642"/>
      <c r="M22" s="642"/>
      <c r="N22" s="641"/>
      <c r="O22" s="641"/>
      <c r="P22" s="641"/>
      <c r="Q22" s="641"/>
      <c r="R22" s="642"/>
      <c r="S22" s="642"/>
      <c r="T22" s="641"/>
      <c r="U22" s="641"/>
      <c r="V22" s="641"/>
      <c r="W22" s="641"/>
      <c r="X22" s="642"/>
      <c r="Y22" s="642"/>
      <c r="Z22" s="641"/>
      <c r="AA22" s="641"/>
      <c r="AB22" s="641"/>
      <c r="AC22" s="641"/>
      <c r="AD22" s="642"/>
      <c r="AE22" s="642"/>
      <c r="AF22" s="641"/>
      <c r="AG22" s="641"/>
      <c r="AH22" s="641"/>
      <c r="AI22" s="641"/>
      <c r="AJ22" s="641"/>
      <c r="AK22" s="11"/>
    </row>
    <row r="23" spans="2:37">
      <c r="B23" s="434"/>
      <c r="C23" s="434"/>
      <c r="D23" s="434"/>
      <c r="E23" s="434"/>
      <c r="F23" s="641"/>
      <c r="G23" s="641"/>
      <c r="H23" s="641"/>
      <c r="I23" s="641"/>
      <c r="J23" s="641"/>
      <c r="K23" s="641"/>
      <c r="L23" s="642"/>
      <c r="M23" s="642"/>
      <c r="N23" s="641"/>
      <c r="O23" s="641"/>
      <c r="P23" s="641"/>
      <c r="Q23" s="641"/>
      <c r="R23" s="642"/>
      <c r="S23" s="642"/>
      <c r="T23" s="641"/>
      <c r="U23" s="641"/>
      <c r="V23" s="641"/>
      <c r="W23" s="641"/>
      <c r="X23" s="642"/>
      <c r="Y23" s="642"/>
      <c r="Z23" s="641"/>
      <c r="AA23" s="641"/>
      <c r="AB23" s="641"/>
      <c r="AC23" s="641"/>
      <c r="AD23" s="642"/>
      <c r="AE23" s="642"/>
      <c r="AF23" s="641"/>
      <c r="AG23" s="641"/>
      <c r="AH23" s="641"/>
      <c r="AI23" s="641"/>
      <c r="AJ23" s="641"/>
      <c r="AK23" s="11"/>
    </row>
    <row r="24" spans="2:37">
      <c r="B24" s="434"/>
      <c r="C24" s="434"/>
      <c r="D24" s="434"/>
      <c r="E24" s="434"/>
      <c r="F24" s="641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1"/>
      <c r="R24" s="641"/>
      <c r="S24" s="641"/>
      <c r="T24" s="641"/>
      <c r="U24" s="641"/>
      <c r="V24" s="641"/>
      <c r="W24" s="641"/>
      <c r="X24" s="641"/>
      <c r="Y24" s="641"/>
      <c r="Z24" s="641"/>
      <c r="AA24" s="641"/>
      <c r="AB24" s="641"/>
      <c r="AC24" s="641"/>
      <c r="AD24" s="641"/>
      <c r="AE24" s="641"/>
      <c r="AF24" s="641"/>
      <c r="AG24" s="641"/>
      <c r="AH24" s="641"/>
      <c r="AI24" s="641"/>
      <c r="AJ24" s="641"/>
      <c r="AK24" s="11"/>
    </row>
    <row r="25" spans="2:37" ht="21" customHeight="1">
      <c r="B25" s="643"/>
      <c r="C25" s="643"/>
      <c r="D25" s="643"/>
      <c r="E25" s="643"/>
      <c r="F25" s="926" t="s">
        <v>45</v>
      </c>
      <c r="G25" s="926"/>
      <c r="H25" s="644"/>
      <c r="I25" s="644"/>
      <c r="J25" s="644"/>
      <c r="K25" s="644"/>
      <c r="L25" s="644" t="e">
        <f>SUM(#REF!)</f>
        <v>#REF!</v>
      </c>
      <c r="M25" s="555"/>
      <c r="N25" s="644"/>
      <c r="O25" s="644"/>
      <c r="P25" s="644"/>
      <c r="Q25" s="644"/>
      <c r="R25" s="11"/>
      <c r="S25" s="555"/>
      <c r="T25" s="644"/>
      <c r="U25" s="644"/>
      <c r="V25" s="644"/>
      <c r="W25" s="644"/>
      <c r="X25" s="11"/>
      <c r="Y25" s="11"/>
      <c r="Z25" s="644"/>
      <c r="AA25" s="927" t="s">
        <v>556</v>
      </c>
      <c r="AB25" s="927"/>
      <c r="AC25" s="927"/>
      <c r="AD25" s="927"/>
      <c r="AE25" s="927"/>
      <c r="AF25" s="927"/>
      <c r="AG25" s="927"/>
      <c r="AH25" s="645"/>
    </row>
    <row r="26" spans="2:37" ht="15.75">
      <c r="B26" s="11"/>
      <c r="C26" s="11"/>
      <c r="D26" s="11"/>
      <c r="E26" s="11"/>
      <c r="F26" s="553"/>
      <c r="G26" s="554"/>
      <c r="H26" s="555"/>
      <c r="I26" s="555"/>
      <c r="J26" s="555"/>
      <c r="K26" s="555"/>
      <c r="L26" s="11"/>
      <c r="M26" s="555"/>
      <c r="N26" s="555"/>
      <c r="O26" s="555"/>
      <c r="P26" s="555"/>
      <c r="Q26" s="555"/>
      <c r="R26" s="11"/>
      <c r="S26" s="555"/>
      <c r="T26" s="555"/>
      <c r="U26" s="555"/>
      <c r="V26" s="555"/>
      <c r="W26" s="555"/>
      <c r="X26" s="11"/>
      <c r="Y26" s="11"/>
      <c r="Z26" s="555"/>
      <c r="AA26" s="957" t="s">
        <v>86</v>
      </c>
      <c r="AB26" s="957"/>
      <c r="AC26" s="957"/>
      <c r="AD26" s="957"/>
      <c r="AE26" s="957"/>
      <c r="AF26" s="957"/>
      <c r="AG26" s="957"/>
      <c r="AH26" s="646"/>
    </row>
    <row r="27" spans="2:37" ht="15.75">
      <c r="B27" s="11"/>
      <c r="C27" s="11"/>
      <c r="D27" s="11"/>
      <c r="E27" s="11"/>
      <c r="F27" s="553"/>
      <c r="G27" s="554"/>
      <c r="H27" s="555"/>
      <c r="I27" s="555"/>
      <c r="J27" s="555"/>
      <c r="K27" s="555"/>
      <c r="L27" s="11"/>
      <c r="M27" s="555"/>
      <c r="N27" s="555"/>
      <c r="O27" s="555"/>
      <c r="P27" s="555"/>
      <c r="Q27" s="555"/>
      <c r="R27" s="11"/>
      <c r="S27" s="555"/>
      <c r="T27" s="555"/>
      <c r="U27" s="555"/>
      <c r="V27" s="555"/>
      <c r="W27" s="555"/>
      <c r="X27" s="11"/>
      <c r="Y27" s="11"/>
      <c r="Z27" s="555"/>
      <c r="AA27" s="649"/>
      <c r="AB27" s="649"/>
      <c r="AC27" s="649"/>
      <c r="AD27" s="19"/>
      <c r="AE27" s="658"/>
      <c r="AF27" s="649"/>
      <c r="AG27" s="649"/>
      <c r="AH27" s="649"/>
      <c r="AI27" s="649"/>
      <c r="AJ27" s="649"/>
      <c r="AK27" s="650"/>
    </row>
    <row r="28" spans="2:37" ht="15.75">
      <c r="B28" s="11"/>
      <c r="C28" s="11"/>
      <c r="D28" s="11"/>
      <c r="E28" s="11"/>
      <c r="F28" s="553"/>
      <c r="G28" s="554"/>
      <c r="H28" s="555"/>
      <c r="I28" s="555"/>
      <c r="J28" s="555"/>
      <c r="K28" s="555"/>
      <c r="L28" s="11"/>
      <c r="M28" s="555"/>
      <c r="N28" s="555"/>
      <c r="O28" s="555"/>
      <c r="P28" s="555"/>
      <c r="Q28" s="555"/>
      <c r="R28" s="11"/>
      <c r="S28" s="555"/>
      <c r="T28" s="555"/>
      <c r="U28" s="555"/>
      <c r="V28" s="555"/>
      <c r="W28" s="555"/>
      <c r="X28" s="11"/>
      <c r="Y28" s="11"/>
      <c r="Z28" s="555"/>
      <c r="AA28" s="649"/>
      <c r="AB28" s="649"/>
      <c r="AC28" s="649"/>
      <c r="AD28" s="19"/>
      <c r="AE28" s="658"/>
      <c r="AF28" s="649"/>
      <c r="AG28" s="649"/>
      <c r="AH28" s="649"/>
      <c r="AI28" s="649"/>
      <c r="AJ28" s="649"/>
      <c r="AK28" s="651"/>
    </row>
    <row r="29" spans="2:37" ht="15.75">
      <c r="B29" s="11"/>
      <c r="C29" s="11"/>
      <c r="D29" s="11"/>
      <c r="E29" s="11"/>
      <c r="F29" s="553"/>
      <c r="G29" s="554"/>
      <c r="H29" s="555"/>
      <c r="I29" s="555"/>
      <c r="J29" s="555"/>
      <c r="K29" s="555"/>
      <c r="L29" s="11"/>
      <c r="M29" s="555"/>
      <c r="N29" s="555"/>
      <c r="O29" s="555"/>
      <c r="P29" s="555"/>
      <c r="Q29" s="555"/>
      <c r="R29" s="11"/>
      <c r="S29" s="555"/>
      <c r="T29" s="555"/>
      <c r="U29" s="555"/>
      <c r="V29" s="555"/>
      <c r="W29" s="555"/>
      <c r="X29" s="11"/>
      <c r="Y29" s="11"/>
      <c r="Z29" s="555"/>
      <c r="AA29" s="958" t="s">
        <v>530</v>
      </c>
      <c r="AB29" s="958"/>
      <c r="AC29" s="958"/>
      <c r="AD29" s="958"/>
      <c r="AE29" s="958"/>
      <c r="AF29" s="958"/>
      <c r="AG29" s="958"/>
      <c r="AH29" s="652"/>
    </row>
    <row r="30" spans="2:37" ht="15.75">
      <c r="B30" s="11"/>
      <c r="C30" s="11"/>
      <c r="D30" s="11"/>
      <c r="E30" s="11"/>
      <c r="F30" s="553"/>
      <c r="G30" s="554"/>
      <c r="H30" s="555"/>
      <c r="I30" s="555"/>
      <c r="J30" s="555"/>
      <c r="K30" s="555"/>
      <c r="L30" s="11"/>
      <c r="M30" s="555"/>
      <c r="N30" s="555"/>
      <c r="O30" s="555"/>
      <c r="P30" s="555"/>
      <c r="Q30" s="555"/>
      <c r="R30" s="11"/>
      <c r="S30" s="555"/>
      <c r="T30" s="555"/>
      <c r="U30" s="555"/>
      <c r="V30" s="555"/>
      <c r="W30" s="555"/>
      <c r="X30" s="11"/>
      <c r="Y30" s="11"/>
      <c r="Z30" s="555"/>
      <c r="AA30" s="646"/>
      <c r="AB30" s="646"/>
      <c r="AC30" s="646"/>
      <c r="AD30" s="646" t="s">
        <v>491</v>
      </c>
      <c r="AE30" s="646"/>
      <c r="AF30" s="646"/>
      <c r="AG30" s="646"/>
      <c r="AH30" s="652"/>
    </row>
    <row r="31" spans="2:37" ht="15.75" customHeight="1">
      <c r="B31" s="11"/>
      <c r="C31" s="11"/>
      <c r="D31" s="11"/>
      <c r="E31" s="11"/>
      <c r="F31" s="553"/>
      <c r="G31" s="554"/>
      <c r="H31" s="555"/>
      <c r="I31" s="555"/>
      <c r="J31" s="555"/>
      <c r="K31" s="555"/>
      <c r="L31" s="11"/>
      <c r="M31" s="555"/>
      <c r="N31" s="555"/>
      <c r="O31" s="555"/>
      <c r="P31" s="555"/>
      <c r="Q31" s="555"/>
      <c r="R31" s="11"/>
      <c r="S31" s="555"/>
      <c r="T31" s="555"/>
      <c r="U31" s="555"/>
      <c r="V31" s="555"/>
      <c r="W31" s="555"/>
      <c r="X31" s="11"/>
      <c r="Y31" s="11"/>
      <c r="Z31" s="555"/>
      <c r="AA31" s="956" t="s">
        <v>121</v>
      </c>
      <c r="AB31" s="956"/>
      <c r="AC31" s="956"/>
      <c r="AD31" s="956"/>
      <c r="AE31" s="956"/>
      <c r="AF31" s="956"/>
      <c r="AG31" s="956"/>
      <c r="AH31" s="645"/>
    </row>
    <row r="32" spans="2:37" ht="15.75">
      <c r="B32" s="11"/>
      <c r="C32" s="11"/>
      <c r="D32" s="11"/>
      <c r="E32" s="11"/>
      <c r="F32" s="553"/>
      <c r="G32" s="554"/>
      <c r="H32" s="555"/>
      <c r="I32" s="555"/>
      <c r="J32" s="555"/>
      <c r="K32" s="555"/>
      <c r="L32" s="11"/>
      <c r="M32" s="555"/>
      <c r="N32" s="555"/>
      <c r="O32" s="555"/>
      <c r="P32" s="555"/>
      <c r="Q32" s="555"/>
      <c r="R32" s="11"/>
      <c r="S32" s="555"/>
      <c r="T32" s="555"/>
      <c r="U32" s="555"/>
      <c r="V32" s="555"/>
      <c r="W32" s="555"/>
      <c r="X32" s="11"/>
      <c r="Y32" s="11"/>
      <c r="Z32" s="555"/>
      <c r="AA32" s="555"/>
      <c r="AB32" s="555"/>
      <c r="AC32" s="555"/>
      <c r="AD32" s="19"/>
      <c r="AE32" s="19"/>
      <c r="AF32" s="649"/>
      <c r="AG32" s="649"/>
      <c r="AH32" s="649"/>
      <c r="AI32" s="649"/>
      <c r="AJ32" s="649"/>
      <c r="AK32" s="19"/>
    </row>
  </sheetData>
  <mergeCells count="26">
    <mergeCell ref="B1:AI1"/>
    <mergeCell ref="B2:AI2"/>
    <mergeCell ref="B7:B10"/>
    <mergeCell ref="D7:D10"/>
    <mergeCell ref="E7:E10"/>
    <mergeCell ref="F7:F10"/>
    <mergeCell ref="G7:G10"/>
    <mergeCell ref="H7:AI7"/>
    <mergeCell ref="AD9:AI9"/>
    <mergeCell ref="AJ7:AJ10"/>
    <mergeCell ref="H8:K8"/>
    <mergeCell ref="L8:Q8"/>
    <mergeCell ref="R8:W8"/>
    <mergeCell ref="X8:AC8"/>
    <mergeCell ref="AD8:AI8"/>
    <mergeCell ref="H9:K9"/>
    <mergeCell ref="L9:Q9"/>
    <mergeCell ref="R9:W9"/>
    <mergeCell ref="X9:AC9"/>
    <mergeCell ref="AA31:AG31"/>
    <mergeCell ref="D12:D13"/>
    <mergeCell ref="D15:D17"/>
    <mergeCell ref="F25:G25"/>
    <mergeCell ref="AA25:AG25"/>
    <mergeCell ref="AA26:AG26"/>
    <mergeCell ref="AA29:AG29"/>
  </mergeCells>
  <pageMargins left="0.11811023622047245" right="0.19685039370078741" top="0.74803149606299213" bottom="0.74803149606299213" header="0.31496062992125984" footer="0.31496062992125984"/>
  <pageSetup paperSize="5" scale="70" orientation="landscape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K26"/>
  <sheetViews>
    <sheetView topLeftCell="B1" workbookViewId="0">
      <selection activeCell="O3" sqref="O3"/>
    </sheetView>
  </sheetViews>
  <sheetFormatPr defaultRowHeight="12.75"/>
  <cols>
    <col min="1" max="1" width="2.28515625" style="549" hidden="1" customWidth="1"/>
    <col min="2" max="2" width="3.85546875" style="549" customWidth="1"/>
    <col min="3" max="3" width="3.5703125" style="549" hidden="1" customWidth="1"/>
    <col min="4" max="4" width="12.140625" style="549" customWidth="1"/>
    <col min="5" max="5" width="31.140625" style="549" customWidth="1"/>
    <col min="6" max="6" width="4.85546875" style="654" customWidth="1"/>
    <col min="7" max="7" width="10.7109375" style="654" customWidth="1"/>
    <col min="8" max="8" width="10.42578125" style="549" customWidth="1"/>
    <col min="9" max="9" width="10.5703125" style="549" customWidth="1"/>
    <col min="10" max="10" width="11.42578125" style="549" customWidth="1"/>
    <col min="11" max="11" width="7" style="549" customWidth="1"/>
    <col min="12" max="13" width="5.140625" style="549" customWidth="1"/>
    <col min="14" max="14" width="6.42578125" style="549" bestFit="1" customWidth="1"/>
    <col min="15" max="19" width="5.140625" style="549" customWidth="1"/>
    <col min="20" max="20" width="6.42578125" style="549" bestFit="1" customWidth="1"/>
    <col min="21" max="34" width="5.140625" style="549" customWidth="1"/>
    <col min="35" max="35" width="4.5703125" style="549" customWidth="1"/>
    <col min="36" max="36" width="5" style="549" customWidth="1"/>
    <col min="37" max="16384" width="9.140625" style="549"/>
  </cols>
  <sheetData>
    <row r="1" spans="2:37" ht="15.75">
      <c r="B1" s="941" t="s">
        <v>533</v>
      </c>
      <c r="C1" s="941"/>
      <c r="D1" s="941"/>
      <c r="E1" s="941"/>
      <c r="F1" s="941"/>
      <c r="G1" s="941"/>
      <c r="H1" s="941"/>
      <c r="I1" s="941"/>
      <c r="J1" s="941"/>
      <c r="K1" s="941"/>
      <c r="L1" s="941"/>
      <c r="M1" s="941"/>
      <c r="N1" s="941"/>
      <c r="O1" s="941"/>
      <c r="P1" s="941"/>
      <c r="Q1" s="941"/>
      <c r="R1" s="941"/>
      <c r="S1" s="941"/>
      <c r="T1" s="941"/>
      <c r="U1" s="941"/>
      <c r="V1" s="941"/>
      <c r="W1" s="941"/>
      <c r="X1" s="941"/>
      <c r="Y1" s="941"/>
      <c r="Z1" s="941"/>
      <c r="AA1" s="941"/>
      <c r="AB1" s="941"/>
      <c r="AC1" s="941"/>
      <c r="AD1" s="941"/>
      <c r="AE1" s="941"/>
      <c r="AF1" s="941"/>
      <c r="AG1" s="941"/>
      <c r="AH1" s="941"/>
      <c r="AI1" s="941"/>
      <c r="AJ1" s="548"/>
    </row>
    <row r="2" spans="2:37" ht="15.75">
      <c r="B2" s="941"/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941"/>
      <c r="N2" s="941"/>
      <c r="O2" s="941"/>
      <c r="P2" s="941"/>
      <c r="Q2" s="941"/>
      <c r="R2" s="941"/>
      <c r="S2" s="941"/>
      <c r="T2" s="941"/>
      <c r="U2" s="941"/>
      <c r="V2" s="941"/>
      <c r="W2" s="941"/>
      <c r="X2" s="941"/>
      <c r="Y2" s="941"/>
      <c r="Z2" s="941"/>
      <c r="AA2" s="941"/>
      <c r="AB2" s="941"/>
      <c r="AC2" s="941"/>
      <c r="AD2" s="941"/>
      <c r="AE2" s="941"/>
      <c r="AF2" s="941"/>
      <c r="AG2" s="941"/>
      <c r="AH2" s="941"/>
      <c r="AI2" s="941"/>
      <c r="AJ2" s="548"/>
    </row>
    <row r="3" spans="2:37"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0"/>
      <c r="AA3" s="550"/>
      <c r="AB3" s="550"/>
      <c r="AC3" s="550"/>
      <c r="AD3" s="550"/>
      <c r="AE3" s="550"/>
      <c r="AF3" s="550"/>
      <c r="AG3" s="550"/>
      <c r="AH3" s="550"/>
      <c r="AI3" s="550"/>
      <c r="AJ3" s="550"/>
    </row>
    <row r="4" spans="2:37" ht="15.75">
      <c r="B4" s="551" t="s">
        <v>527</v>
      </c>
      <c r="C4" s="551"/>
      <c r="D4" s="551"/>
      <c r="E4" s="551"/>
      <c r="F4" s="550"/>
      <c r="G4" s="550"/>
      <c r="H4" s="552"/>
      <c r="I4" s="552"/>
      <c r="J4" s="552"/>
      <c r="K4" s="552"/>
      <c r="L4" s="550"/>
      <c r="M4" s="550"/>
      <c r="N4" s="552"/>
      <c r="O4" s="552"/>
      <c r="P4" s="552"/>
      <c r="Q4" s="552"/>
      <c r="R4" s="550"/>
      <c r="S4" s="550"/>
      <c r="T4" s="552"/>
      <c r="U4" s="552"/>
      <c r="V4" s="552"/>
      <c r="W4" s="552"/>
      <c r="X4" s="550"/>
      <c r="Y4" s="550"/>
      <c r="Z4" s="552"/>
      <c r="AA4" s="552"/>
      <c r="AB4" s="552"/>
      <c r="AC4" s="552"/>
      <c r="AD4" s="550"/>
      <c r="AE4" s="550"/>
      <c r="AF4" s="552"/>
      <c r="AG4" s="552"/>
      <c r="AH4" s="552"/>
      <c r="AI4" s="552"/>
      <c r="AJ4" s="552"/>
    </row>
    <row r="5" spans="2:37">
      <c r="B5" s="552"/>
      <c r="C5" s="552"/>
      <c r="D5" s="552"/>
      <c r="E5" s="552"/>
      <c r="F5" s="550"/>
      <c r="G5" s="550"/>
      <c r="H5" s="552"/>
      <c r="I5" s="552"/>
      <c r="J5" s="552"/>
      <c r="K5" s="552"/>
      <c r="L5" s="550"/>
      <c r="M5" s="550"/>
      <c r="N5" s="552"/>
      <c r="O5" s="552"/>
      <c r="P5" s="552"/>
      <c r="Q5" s="552"/>
      <c r="R5" s="550"/>
      <c r="S5" s="550"/>
      <c r="T5" s="552"/>
      <c r="U5" s="552"/>
      <c r="V5" s="552"/>
      <c r="W5" s="552"/>
      <c r="X5" s="550"/>
      <c r="Y5" s="550"/>
      <c r="Z5" s="552"/>
      <c r="AA5" s="552"/>
      <c r="AB5" s="552"/>
      <c r="AC5" s="552"/>
      <c r="AD5" s="550"/>
      <c r="AE5" s="550"/>
      <c r="AF5" s="552"/>
      <c r="AG5" s="552"/>
      <c r="AH5" s="552"/>
      <c r="AI5" s="552"/>
      <c r="AJ5" s="552"/>
    </row>
    <row r="6" spans="2:37" ht="13.5" thickBot="1">
      <c r="B6" s="11"/>
      <c r="C6" s="11"/>
      <c r="D6" s="11"/>
      <c r="E6" s="11"/>
      <c r="F6" s="553"/>
      <c r="G6" s="554"/>
      <c r="H6" s="555"/>
      <c r="I6" s="555"/>
      <c r="J6" s="555"/>
      <c r="K6" s="555"/>
      <c r="L6" s="11"/>
      <c r="M6" s="555"/>
      <c r="N6" s="555"/>
      <c r="O6" s="555"/>
      <c r="P6" s="555"/>
      <c r="Q6" s="555"/>
      <c r="R6" s="11"/>
      <c r="S6" s="555"/>
      <c r="T6" s="555"/>
      <c r="U6" s="555"/>
      <c r="V6" s="555"/>
      <c r="W6" s="555"/>
      <c r="X6" s="11"/>
      <c r="Y6" s="11"/>
      <c r="Z6" s="555"/>
      <c r="AA6" s="555"/>
      <c r="AB6" s="555"/>
      <c r="AC6" s="555"/>
      <c r="AD6" s="11"/>
      <c r="AE6" s="11"/>
      <c r="AF6" s="555"/>
      <c r="AG6" s="555"/>
      <c r="AH6" s="555"/>
      <c r="AI6" s="555"/>
      <c r="AJ6" s="555"/>
    </row>
    <row r="7" spans="2:37" ht="24" customHeight="1" thickBot="1">
      <c r="B7" s="942" t="s">
        <v>3</v>
      </c>
      <c r="C7" s="556"/>
      <c r="D7" s="945" t="s">
        <v>265</v>
      </c>
      <c r="E7" s="942" t="s">
        <v>498</v>
      </c>
      <c r="F7" s="947" t="s">
        <v>292</v>
      </c>
      <c r="G7" s="950" t="s">
        <v>293</v>
      </c>
      <c r="H7" s="954" t="s">
        <v>499</v>
      </c>
      <c r="I7" s="955"/>
      <c r="J7" s="955"/>
      <c r="K7" s="955"/>
      <c r="L7" s="955"/>
      <c r="M7" s="955"/>
      <c r="N7" s="955"/>
      <c r="O7" s="955"/>
      <c r="P7" s="955"/>
      <c r="Q7" s="955"/>
      <c r="R7" s="955"/>
      <c r="S7" s="955"/>
      <c r="T7" s="955"/>
      <c r="U7" s="955"/>
      <c r="V7" s="955"/>
      <c r="W7" s="955"/>
      <c r="X7" s="955"/>
      <c r="Y7" s="955"/>
      <c r="Z7" s="955"/>
      <c r="AA7" s="955"/>
      <c r="AB7" s="955"/>
      <c r="AC7" s="955"/>
      <c r="AD7" s="955"/>
      <c r="AE7" s="955"/>
      <c r="AF7" s="955"/>
      <c r="AG7" s="955"/>
      <c r="AH7" s="955"/>
      <c r="AI7" s="955"/>
      <c r="AJ7" s="930" t="s">
        <v>9</v>
      </c>
    </row>
    <row r="8" spans="2:37" ht="15.75" customHeight="1" thickBot="1">
      <c r="B8" s="943"/>
      <c r="C8" s="557"/>
      <c r="D8" s="945"/>
      <c r="E8" s="943"/>
      <c r="F8" s="948"/>
      <c r="G8" s="951"/>
      <c r="H8" s="933" t="s">
        <v>500</v>
      </c>
      <c r="I8" s="934"/>
      <c r="J8" s="934"/>
      <c r="K8" s="935"/>
      <c r="L8" s="933" t="s">
        <v>501</v>
      </c>
      <c r="M8" s="934"/>
      <c r="N8" s="934"/>
      <c r="O8" s="934"/>
      <c r="P8" s="934"/>
      <c r="Q8" s="935"/>
      <c r="R8" s="933" t="s">
        <v>502</v>
      </c>
      <c r="S8" s="936"/>
      <c r="T8" s="936"/>
      <c r="U8" s="936"/>
      <c r="V8" s="936"/>
      <c r="W8" s="937"/>
      <c r="X8" s="933" t="s">
        <v>503</v>
      </c>
      <c r="Y8" s="934"/>
      <c r="Z8" s="934"/>
      <c r="AA8" s="934"/>
      <c r="AB8" s="934"/>
      <c r="AC8" s="935"/>
      <c r="AD8" s="933" t="s">
        <v>504</v>
      </c>
      <c r="AE8" s="934"/>
      <c r="AF8" s="934"/>
      <c r="AG8" s="934"/>
      <c r="AH8" s="934"/>
      <c r="AI8" s="934"/>
      <c r="AJ8" s="931"/>
    </row>
    <row r="9" spans="2:37" s="559" customFormat="1" ht="15" customHeight="1" thickBot="1">
      <c r="B9" s="943"/>
      <c r="C9" s="558"/>
      <c r="D9" s="945"/>
      <c r="E9" s="943"/>
      <c r="F9" s="948"/>
      <c r="G9" s="952"/>
      <c r="H9" s="938" t="s">
        <v>505</v>
      </c>
      <c r="I9" s="939"/>
      <c r="J9" s="939"/>
      <c r="K9" s="940"/>
      <c r="L9" s="938" t="s">
        <v>505</v>
      </c>
      <c r="M9" s="939"/>
      <c r="N9" s="939"/>
      <c r="O9" s="939"/>
      <c r="P9" s="939"/>
      <c r="Q9" s="940"/>
      <c r="R9" s="938" t="s">
        <v>505</v>
      </c>
      <c r="S9" s="939"/>
      <c r="T9" s="939"/>
      <c r="U9" s="939"/>
      <c r="V9" s="939"/>
      <c r="W9" s="940"/>
      <c r="X9" s="938" t="s">
        <v>505</v>
      </c>
      <c r="Y9" s="939"/>
      <c r="Z9" s="939"/>
      <c r="AA9" s="939"/>
      <c r="AB9" s="939"/>
      <c r="AC9" s="940"/>
      <c r="AD9" s="938" t="s">
        <v>505</v>
      </c>
      <c r="AE9" s="939"/>
      <c r="AF9" s="939"/>
      <c r="AG9" s="939"/>
      <c r="AH9" s="939"/>
      <c r="AI9" s="939"/>
      <c r="AJ9" s="931"/>
    </row>
    <row r="10" spans="2:37" s="567" customFormat="1" ht="30" customHeight="1" thickBot="1">
      <c r="B10" s="944"/>
      <c r="C10" s="557"/>
      <c r="D10" s="946"/>
      <c r="E10" s="944"/>
      <c r="F10" s="949"/>
      <c r="G10" s="953"/>
      <c r="H10" s="560" t="s">
        <v>506</v>
      </c>
      <c r="I10" s="561" t="s">
        <v>507</v>
      </c>
      <c r="J10" s="562" t="s">
        <v>508</v>
      </c>
      <c r="K10" s="563">
        <v>1</v>
      </c>
      <c r="L10" s="564" t="s">
        <v>292</v>
      </c>
      <c r="M10" s="565" t="s">
        <v>293</v>
      </c>
      <c r="N10" s="560" t="s">
        <v>506</v>
      </c>
      <c r="O10" s="561" t="s">
        <v>507</v>
      </c>
      <c r="P10" s="562" t="s">
        <v>508</v>
      </c>
      <c r="Q10" s="563">
        <v>1</v>
      </c>
      <c r="R10" s="564" t="s">
        <v>292</v>
      </c>
      <c r="S10" s="565" t="s">
        <v>293</v>
      </c>
      <c r="T10" s="560" t="s">
        <v>506</v>
      </c>
      <c r="U10" s="561" t="s">
        <v>507</v>
      </c>
      <c r="V10" s="562" t="s">
        <v>508</v>
      </c>
      <c r="W10" s="563">
        <v>1</v>
      </c>
      <c r="X10" s="564" t="s">
        <v>509</v>
      </c>
      <c r="Y10" s="564" t="s">
        <v>293</v>
      </c>
      <c r="Z10" s="560" t="s">
        <v>506</v>
      </c>
      <c r="AA10" s="561" t="s">
        <v>507</v>
      </c>
      <c r="AB10" s="562" t="s">
        <v>508</v>
      </c>
      <c r="AC10" s="563">
        <v>1</v>
      </c>
      <c r="AD10" s="564" t="s">
        <v>292</v>
      </c>
      <c r="AE10" s="564" t="s">
        <v>293</v>
      </c>
      <c r="AF10" s="560" t="s">
        <v>506</v>
      </c>
      <c r="AG10" s="561" t="s">
        <v>507</v>
      </c>
      <c r="AH10" s="562" t="s">
        <v>508</v>
      </c>
      <c r="AI10" s="566">
        <v>1</v>
      </c>
      <c r="AJ10" s="932"/>
    </row>
    <row r="11" spans="2:37" s="578" customFormat="1" ht="12.75" customHeight="1" thickBot="1">
      <c r="B11" s="568"/>
      <c r="C11" s="569"/>
      <c r="D11" s="568"/>
      <c r="E11" s="568"/>
      <c r="F11" s="570"/>
      <c r="G11" s="571"/>
      <c r="H11" s="572"/>
      <c r="I11" s="573"/>
      <c r="J11" s="572"/>
      <c r="K11" s="572"/>
      <c r="L11" s="574"/>
      <c r="M11" s="575"/>
      <c r="N11" s="572"/>
      <c r="O11" s="573"/>
      <c r="P11" s="572"/>
      <c r="Q11" s="572"/>
      <c r="R11" s="574"/>
      <c r="S11" s="575"/>
      <c r="T11" s="572"/>
      <c r="U11" s="573"/>
      <c r="V11" s="572"/>
      <c r="W11" s="572"/>
      <c r="X11" s="574"/>
      <c r="Y11" s="574"/>
      <c r="Z11" s="572"/>
      <c r="AA11" s="573"/>
      <c r="AB11" s="572"/>
      <c r="AC11" s="572"/>
      <c r="AD11" s="574"/>
      <c r="AE11" s="576"/>
      <c r="AF11" s="572"/>
      <c r="AG11" s="573"/>
      <c r="AH11" s="572"/>
      <c r="AI11" s="572"/>
      <c r="AJ11" s="577"/>
    </row>
    <row r="12" spans="2:37" ht="72" customHeight="1">
      <c r="B12" s="579">
        <v>1</v>
      </c>
      <c r="C12" s="580"/>
      <c r="D12" s="923" t="s">
        <v>290</v>
      </c>
      <c r="E12" s="581" t="s">
        <v>510</v>
      </c>
      <c r="F12" s="582">
        <v>1</v>
      </c>
      <c r="G12" s="583">
        <v>200000000</v>
      </c>
      <c r="H12" s="656">
        <v>199258000</v>
      </c>
      <c r="I12" s="655" t="s">
        <v>528</v>
      </c>
      <c r="J12" s="584">
        <f>H12</f>
        <v>199258000</v>
      </c>
      <c r="K12" s="586">
        <f>J12/G12*100</f>
        <v>99.629000000000005</v>
      </c>
      <c r="L12" s="587">
        <v>0</v>
      </c>
      <c r="M12" s="587">
        <v>0</v>
      </c>
      <c r="N12" s="587">
        <v>0</v>
      </c>
      <c r="O12" s="587">
        <v>0</v>
      </c>
      <c r="P12" s="587">
        <v>0</v>
      </c>
      <c r="Q12" s="586">
        <v>0</v>
      </c>
      <c r="R12" s="587">
        <v>0</v>
      </c>
      <c r="S12" s="587">
        <v>0</v>
      </c>
      <c r="T12" s="587">
        <v>0</v>
      </c>
      <c r="U12" s="587">
        <v>0</v>
      </c>
      <c r="V12" s="587">
        <v>0</v>
      </c>
      <c r="W12" s="586">
        <v>0</v>
      </c>
      <c r="X12" s="587">
        <v>0</v>
      </c>
      <c r="Y12" s="587">
        <v>0</v>
      </c>
      <c r="Z12" s="587">
        <v>0</v>
      </c>
      <c r="AA12" s="587">
        <v>0</v>
      </c>
      <c r="AB12" s="587">
        <v>0</v>
      </c>
      <c r="AC12" s="586">
        <v>0</v>
      </c>
      <c r="AD12" s="587">
        <v>0</v>
      </c>
      <c r="AE12" s="587">
        <v>0</v>
      </c>
      <c r="AF12" s="587">
        <v>0</v>
      </c>
      <c r="AG12" s="587">
        <v>0</v>
      </c>
      <c r="AH12" s="587">
        <v>0</v>
      </c>
      <c r="AI12" s="586">
        <v>0</v>
      </c>
      <c r="AJ12" s="588"/>
    </row>
    <row r="13" spans="2:37" ht="72" customHeight="1" thickBot="1">
      <c r="B13" s="589">
        <v>2</v>
      </c>
      <c r="C13" s="580"/>
      <c r="D13" s="924"/>
      <c r="E13" s="581" t="s">
        <v>532</v>
      </c>
      <c r="F13" s="590">
        <v>1</v>
      </c>
      <c r="G13" s="583">
        <v>50000000</v>
      </c>
      <c r="H13" s="585">
        <v>0</v>
      </c>
      <c r="I13" s="585">
        <v>0</v>
      </c>
      <c r="J13" s="585">
        <v>0</v>
      </c>
      <c r="K13" s="586">
        <f t="shared" ref="K13" si="0">J13/G13*100</f>
        <v>0</v>
      </c>
      <c r="L13" s="587">
        <v>0</v>
      </c>
      <c r="M13" s="591">
        <v>0</v>
      </c>
      <c r="N13" s="585">
        <v>0</v>
      </c>
      <c r="O13" s="585">
        <v>0</v>
      </c>
      <c r="P13" s="585">
        <v>0</v>
      </c>
      <c r="Q13" s="586">
        <v>0</v>
      </c>
      <c r="R13" s="587">
        <v>0</v>
      </c>
      <c r="S13" s="591">
        <v>0</v>
      </c>
      <c r="T13" s="585">
        <v>0</v>
      </c>
      <c r="U13" s="585">
        <v>0</v>
      </c>
      <c r="V13" s="585">
        <v>0</v>
      </c>
      <c r="W13" s="586">
        <v>0</v>
      </c>
      <c r="X13" s="587">
        <v>0</v>
      </c>
      <c r="Y13" s="587">
        <v>0</v>
      </c>
      <c r="Z13" s="585">
        <v>0</v>
      </c>
      <c r="AA13" s="585">
        <v>0</v>
      </c>
      <c r="AB13" s="585">
        <v>0</v>
      </c>
      <c r="AC13" s="586">
        <v>0</v>
      </c>
      <c r="AD13" s="587">
        <v>0</v>
      </c>
      <c r="AE13" s="587">
        <v>0</v>
      </c>
      <c r="AF13" s="585">
        <v>0</v>
      </c>
      <c r="AG13" s="585">
        <v>0</v>
      </c>
      <c r="AH13" s="585">
        <v>0</v>
      </c>
      <c r="AI13" s="586">
        <v>0</v>
      </c>
      <c r="AJ13" s="592"/>
    </row>
    <row r="14" spans="2:37" s="610" customFormat="1" ht="13.5" thickBot="1">
      <c r="B14" s="597"/>
      <c r="C14" s="598"/>
      <c r="D14" s="599"/>
      <c r="E14" s="657" t="s">
        <v>514</v>
      </c>
      <c r="F14" s="601">
        <f>SUM(F12:F13)</f>
        <v>2</v>
      </c>
      <c r="G14" s="602">
        <f>SUM(G12:G13)</f>
        <v>250000000</v>
      </c>
      <c r="H14" s="603">
        <f>SUM(H12:H13)</f>
        <v>199258000</v>
      </c>
      <c r="I14" s="603">
        <f>SUM(I12:I13)</f>
        <v>0</v>
      </c>
      <c r="J14" s="603">
        <f>SUM(J12:J13)</f>
        <v>199258000</v>
      </c>
      <c r="K14" s="604">
        <f>J14/G14*100</f>
        <v>79.703199999999995</v>
      </c>
      <c r="L14" s="605">
        <v>0</v>
      </c>
      <c r="M14" s="606"/>
      <c r="N14" s="603"/>
      <c r="O14" s="603"/>
      <c r="P14" s="603"/>
      <c r="Q14" s="607">
        <v>0</v>
      </c>
      <c r="R14" s="608"/>
      <c r="S14" s="606"/>
      <c r="T14" s="603"/>
      <c r="U14" s="603"/>
      <c r="V14" s="603"/>
      <c r="W14" s="607">
        <v>0</v>
      </c>
      <c r="X14" s="608"/>
      <c r="Y14" s="608"/>
      <c r="Z14" s="603"/>
      <c r="AA14" s="603"/>
      <c r="AB14" s="603"/>
      <c r="AC14" s="607">
        <v>0</v>
      </c>
      <c r="AD14" s="608"/>
      <c r="AE14" s="608"/>
      <c r="AF14" s="603"/>
      <c r="AG14" s="603"/>
      <c r="AH14" s="603"/>
      <c r="AI14" s="607">
        <v>0</v>
      </c>
      <c r="AJ14" s="609"/>
    </row>
    <row r="15" spans="2:37" ht="13.5" thickBot="1">
      <c r="B15" s="634"/>
      <c r="C15" s="635"/>
      <c r="D15" s="634"/>
      <c r="E15" s="636" t="s">
        <v>522</v>
      </c>
      <c r="F15" s="637">
        <f>F14</f>
        <v>2</v>
      </c>
      <c r="G15" s="637">
        <f>G14</f>
        <v>250000000</v>
      </c>
      <c r="H15" s="637">
        <f>H14</f>
        <v>199258000</v>
      </c>
      <c r="I15" s="637"/>
      <c r="J15" s="637">
        <f>J14</f>
        <v>199258000</v>
      </c>
      <c r="K15" s="638">
        <f>J15/G15*100</f>
        <v>79.703199999999995</v>
      </c>
      <c r="L15" s="639">
        <v>0</v>
      </c>
      <c r="M15" s="639">
        <v>0</v>
      </c>
      <c r="N15" s="637"/>
      <c r="O15" s="637"/>
      <c r="P15" s="637"/>
      <c r="Q15" s="640">
        <v>0</v>
      </c>
      <c r="R15" s="639"/>
      <c r="S15" s="639"/>
      <c r="T15" s="637"/>
      <c r="U15" s="637"/>
      <c r="V15" s="637"/>
      <c r="W15" s="640">
        <v>0</v>
      </c>
      <c r="X15" s="639"/>
      <c r="Y15" s="639"/>
      <c r="Z15" s="637"/>
      <c r="AA15" s="637"/>
      <c r="AB15" s="637"/>
      <c r="AC15" s="640">
        <v>0</v>
      </c>
      <c r="AD15" s="639"/>
      <c r="AE15" s="639"/>
      <c r="AF15" s="637"/>
      <c r="AG15" s="637"/>
      <c r="AH15" s="637"/>
      <c r="AI15" s="607">
        <v>0</v>
      </c>
      <c r="AJ15" s="609"/>
      <c r="AK15" s="11"/>
    </row>
    <row r="16" spans="2:37">
      <c r="B16" s="434"/>
      <c r="C16" s="434"/>
      <c r="D16" s="434"/>
      <c r="E16" s="434"/>
      <c r="F16" s="641"/>
      <c r="G16" s="641"/>
      <c r="H16" s="641"/>
      <c r="I16" s="641"/>
      <c r="J16" s="641"/>
      <c r="K16" s="641"/>
      <c r="L16" s="642"/>
      <c r="M16" s="642"/>
      <c r="N16" s="641"/>
      <c r="O16" s="641"/>
      <c r="P16" s="641"/>
      <c r="Q16" s="641"/>
      <c r="R16" s="642"/>
      <c r="S16" s="642"/>
      <c r="T16" s="641"/>
      <c r="U16" s="641"/>
      <c r="V16" s="641"/>
      <c r="W16" s="641"/>
      <c r="X16" s="642"/>
      <c r="Y16" s="642"/>
      <c r="Z16" s="641"/>
      <c r="AA16" s="641"/>
      <c r="AB16" s="641"/>
      <c r="AC16" s="641"/>
      <c r="AD16" s="642"/>
      <c r="AE16" s="642"/>
      <c r="AF16" s="641"/>
      <c r="AG16" s="641"/>
      <c r="AH16" s="641"/>
      <c r="AI16" s="641"/>
      <c r="AJ16" s="641"/>
      <c r="AK16" s="11"/>
    </row>
    <row r="17" spans="2:37">
      <c r="B17" s="434"/>
      <c r="C17" s="434"/>
      <c r="D17" s="434"/>
      <c r="E17" s="434"/>
      <c r="F17" s="641"/>
      <c r="G17" s="641"/>
      <c r="H17" s="641"/>
      <c r="I17" s="641"/>
      <c r="J17" s="641"/>
      <c r="K17" s="641"/>
      <c r="L17" s="642"/>
      <c r="M17" s="642"/>
      <c r="N17" s="641"/>
      <c r="O17" s="641"/>
      <c r="P17" s="641"/>
      <c r="Q17" s="641"/>
      <c r="R17" s="642"/>
      <c r="S17" s="642"/>
      <c r="T17" s="641"/>
      <c r="U17" s="641"/>
      <c r="V17" s="641"/>
      <c r="W17" s="641"/>
      <c r="X17" s="642"/>
      <c r="Y17" s="642"/>
      <c r="Z17" s="641"/>
      <c r="AA17" s="641"/>
      <c r="AB17" s="641"/>
      <c r="AC17" s="641"/>
      <c r="AD17" s="642"/>
      <c r="AE17" s="642"/>
      <c r="AF17" s="641"/>
      <c r="AG17" s="641"/>
      <c r="AH17" s="641"/>
      <c r="AI17" s="641"/>
      <c r="AJ17" s="641"/>
      <c r="AK17" s="11"/>
    </row>
    <row r="18" spans="2:37">
      <c r="B18" s="434"/>
      <c r="C18" s="434"/>
      <c r="D18" s="434"/>
      <c r="E18" s="434"/>
      <c r="F18" s="641"/>
      <c r="G18" s="641"/>
      <c r="H18" s="641"/>
      <c r="I18" s="641"/>
      <c r="J18" s="641"/>
      <c r="K18" s="641"/>
      <c r="L18" s="641"/>
      <c r="M18" s="641"/>
      <c r="N18" s="641"/>
      <c r="O18" s="641"/>
      <c r="P18" s="641"/>
      <c r="Q18" s="641"/>
      <c r="R18" s="641"/>
      <c r="S18" s="641"/>
      <c r="T18" s="641"/>
      <c r="U18" s="641"/>
      <c r="V18" s="641"/>
      <c r="W18" s="641"/>
      <c r="X18" s="641"/>
      <c r="Y18" s="641"/>
      <c r="Z18" s="641"/>
      <c r="AA18" s="641"/>
      <c r="AB18" s="641"/>
      <c r="AC18" s="641"/>
      <c r="AD18" s="641"/>
      <c r="AE18" s="641"/>
      <c r="AF18" s="641"/>
      <c r="AG18" s="641"/>
      <c r="AH18" s="641"/>
      <c r="AI18" s="641"/>
      <c r="AJ18" s="641"/>
      <c r="AK18" s="11"/>
    </row>
    <row r="19" spans="2:37" ht="21" customHeight="1">
      <c r="B19" s="643"/>
      <c r="C19" s="643"/>
      <c r="D19" s="643"/>
      <c r="E19" s="643"/>
      <c r="F19" s="926" t="s">
        <v>45</v>
      </c>
      <c r="G19" s="926"/>
      <c r="H19" s="644"/>
      <c r="I19" s="644"/>
      <c r="J19" s="644"/>
      <c r="K19" s="644"/>
      <c r="L19" s="644" t="e">
        <f>SUM(#REF!)</f>
        <v>#REF!</v>
      </c>
      <c r="M19" s="555"/>
      <c r="N19" s="644"/>
      <c r="O19" s="644"/>
      <c r="P19" s="644"/>
      <c r="Q19" s="644"/>
      <c r="R19" s="11"/>
      <c r="S19" s="555"/>
      <c r="T19" s="644"/>
      <c r="U19" s="644"/>
      <c r="V19" s="644"/>
      <c r="W19" s="644"/>
      <c r="X19" s="11"/>
      <c r="Y19" s="11"/>
      <c r="Z19" s="644"/>
      <c r="AA19" s="927" t="s">
        <v>529</v>
      </c>
      <c r="AB19" s="927"/>
      <c r="AC19" s="927"/>
      <c r="AD19" s="927"/>
      <c r="AE19" s="927"/>
      <c r="AF19" s="927"/>
      <c r="AG19" s="927"/>
      <c r="AH19" s="645"/>
    </row>
    <row r="20" spans="2:37" ht="18">
      <c r="B20" s="11"/>
      <c r="C20" s="11"/>
      <c r="D20" s="11"/>
      <c r="E20" s="11"/>
      <c r="F20" s="553"/>
      <c r="G20" s="554"/>
      <c r="H20" s="555"/>
      <c r="I20" s="555"/>
      <c r="J20" s="555"/>
      <c r="K20" s="555"/>
      <c r="L20" s="11"/>
      <c r="M20" s="555"/>
      <c r="N20" s="555"/>
      <c r="O20" s="555"/>
      <c r="P20" s="555"/>
      <c r="Q20" s="555"/>
      <c r="R20" s="11"/>
      <c r="S20" s="555"/>
      <c r="T20" s="555"/>
      <c r="U20" s="555"/>
      <c r="V20" s="555"/>
      <c r="W20" s="555"/>
      <c r="X20" s="11"/>
      <c r="Y20" s="11"/>
      <c r="Z20" s="555"/>
      <c r="AA20" s="928" t="s">
        <v>86</v>
      </c>
      <c r="AB20" s="928"/>
      <c r="AC20" s="928"/>
      <c r="AD20" s="928"/>
      <c r="AE20" s="928"/>
      <c r="AF20" s="928"/>
      <c r="AG20" s="928"/>
      <c r="AH20" s="646"/>
    </row>
    <row r="21" spans="2:37" ht="18">
      <c r="B21" s="11"/>
      <c r="C21" s="11"/>
      <c r="D21" s="11"/>
      <c r="E21" s="11"/>
      <c r="F21" s="553"/>
      <c r="G21" s="554"/>
      <c r="H21" s="555"/>
      <c r="I21" s="555"/>
      <c r="J21" s="555"/>
      <c r="K21" s="555"/>
      <c r="L21" s="11"/>
      <c r="M21" s="555"/>
      <c r="N21" s="555"/>
      <c r="O21" s="555"/>
      <c r="P21" s="555"/>
      <c r="Q21" s="555"/>
      <c r="R21" s="11"/>
      <c r="S21" s="555"/>
      <c r="T21" s="555"/>
      <c r="U21" s="555"/>
      <c r="V21" s="555"/>
      <c r="W21" s="555"/>
      <c r="X21" s="11"/>
      <c r="Y21" s="11"/>
      <c r="Z21" s="555"/>
      <c r="AA21" s="647"/>
      <c r="AB21" s="647"/>
      <c r="AC21" s="647"/>
      <c r="AD21" s="393"/>
      <c r="AE21" s="648"/>
      <c r="AF21" s="647"/>
      <c r="AG21" s="647"/>
      <c r="AH21" s="649"/>
      <c r="AI21" s="649"/>
      <c r="AJ21" s="649"/>
      <c r="AK21" s="650"/>
    </row>
    <row r="22" spans="2:37" ht="18">
      <c r="B22" s="11"/>
      <c r="C22" s="11"/>
      <c r="D22" s="11"/>
      <c r="E22" s="11"/>
      <c r="F22" s="553"/>
      <c r="G22" s="554"/>
      <c r="H22" s="555"/>
      <c r="I22" s="555"/>
      <c r="J22" s="555"/>
      <c r="K22" s="555"/>
      <c r="L22" s="11"/>
      <c r="M22" s="555"/>
      <c r="N22" s="555"/>
      <c r="O22" s="555"/>
      <c r="P22" s="555"/>
      <c r="Q22" s="555"/>
      <c r="R22" s="11"/>
      <c r="S22" s="555"/>
      <c r="T22" s="555"/>
      <c r="U22" s="555"/>
      <c r="V22" s="555"/>
      <c r="W22" s="555"/>
      <c r="X22" s="11"/>
      <c r="Y22" s="11"/>
      <c r="Z22" s="555"/>
      <c r="AA22" s="647"/>
      <c r="AB22" s="647"/>
      <c r="AC22" s="647"/>
      <c r="AD22" s="393"/>
      <c r="AE22" s="648"/>
      <c r="AF22" s="647"/>
      <c r="AG22" s="647"/>
      <c r="AH22" s="649"/>
      <c r="AI22" s="649"/>
      <c r="AJ22" s="649"/>
      <c r="AK22" s="651"/>
    </row>
    <row r="23" spans="2:37" ht="18">
      <c r="B23" s="11"/>
      <c r="C23" s="11"/>
      <c r="D23" s="11"/>
      <c r="E23" s="11"/>
      <c r="F23" s="553"/>
      <c r="G23" s="554"/>
      <c r="H23" s="555"/>
      <c r="I23" s="555"/>
      <c r="J23" s="555"/>
      <c r="K23" s="555"/>
      <c r="L23" s="11"/>
      <c r="M23" s="555"/>
      <c r="N23" s="555"/>
      <c r="O23" s="555"/>
      <c r="P23" s="555"/>
      <c r="Q23" s="555"/>
      <c r="R23" s="11"/>
      <c r="S23" s="555"/>
      <c r="T23" s="555"/>
      <c r="U23" s="555"/>
      <c r="V23" s="555"/>
      <c r="W23" s="555"/>
      <c r="X23" s="11"/>
      <c r="Y23" s="11"/>
      <c r="Z23" s="555"/>
      <c r="AA23" s="929" t="s">
        <v>530</v>
      </c>
      <c r="AB23" s="929"/>
      <c r="AC23" s="929"/>
      <c r="AD23" s="929"/>
      <c r="AE23" s="929"/>
      <c r="AF23" s="929"/>
      <c r="AG23" s="929"/>
      <c r="AH23" s="652"/>
    </row>
    <row r="24" spans="2:37" ht="18">
      <c r="B24" s="11"/>
      <c r="C24" s="11"/>
      <c r="D24" s="11"/>
      <c r="E24" s="11"/>
      <c r="F24" s="553"/>
      <c r="G24" s="554"/>
      <c r="H24" s="555"/>
      <c r="I24" s="555"/>
      <c r="J24" s="555"/>
      <c r="K24" s="555"/>
      <c r="L24" s="11"/>
      <c r="M24" s="555"/>
      <c r="N24" s="555"/>
      <c r="O24" s="555"/>
      <c r="P24" s="555"/>
      <c r="Q24" s="555"/>
      <c r="R24" s="11"/>
      <c r="S24" s="555"/>
      <c r="T24" s="555"/>
      <c r="U24" s="555"/>
      <c r="V24" s="555"/>
      <c r="W24" s="555"/>
      <c r="X24" s="11"/>
      <c r="Y24" s="11"/>
      <c r="Z24" s="555"/>
      <c r="AA24" s="653"/>
      <c r="AB24" s="653"/>
      <c r="AC24" s="653"/>
      <c r="AD24" s="653" t="s">
        <v>491</v>
      </c>
      <c r="AE24" s="653"/>
      <c r="AF24" s="653"/>
      <c r="AG24" s="653"/>
      <c r="AH24" s="652"/>
    </row>
    <row r="25" spans="2:37" ht="15.75" customHeight="1">
      <c r="B25" s="11"/>
      <c r="C25" s="11"/>
      <c r="D25" s="11"/>
      <c r="E25" s="11"/>
      <c r="F25" s="553"/>
      <c r="G25" s="554"/>
      <c r="H25" s="555"/>
      <c r="I25" s="555"/>
      <c r="J25" s="555"/>
      <c r="K25" s="555"/>
      <c r="L25" s="11"/>
      <c r="M25" s="555"/>
      <c r="N25" s="555"/>
      <c r="O25" s="555"/>
      <c r="P25" s="555"/>
      <c r="Q25" s="555"/>
      <c r="R25" s="11"/>
      <c r="S25" s="555"/>
      <c r="T25" s="555"/>
      <c r="U25" s="555"/>
      <c r="V25" s="555"/>
      <c r="W25" s="555"/>
      <c r="X25" s="11"/>
      <c r="Y25" s="11"/>
      <c r="Z25" s="555"/>
      <c r="AA25" s="922" t="s">
        <v>121</v>
      </c>
      <c r="AB25" s="922"/>
      <c r="AC25" s="922"/>
      <c r="AD25" s="922"/>
      <c r="AE25" s="922"/>
      <c r="AF25" s="922"/>
      <c r="AG25" s="922"/>
      <c r="AH25" s="645"/>
    </row>
    <row r="26" spans="2:37" ht="15.75">
      <c r="B26" s="11"/>
      <c r="C26" s="11"/>
      <c r="D26" s="11"/>
      <c r="E26" s="11"/>
      <c r="F26" s="553"/>
      <c r="G26" s="554"/>
      <c r="H26" s="555"/>
      <c r="I26" s="555"/>
      <c r="J26" s="555"/>
      <c r="K26" s="555"/>
      <c r="L26" s="11"/>
      <c r="M26" s="555"/>
      <c r="N26" s="555"/>
      <c r="O26" s="555"/>
      <c r="P26" s="555"/>
      <c r="Q26" s="555"/>
      <c r="R26" s="11"/>
      <c r="S26" s="555"/>
      <c r="T26" s="555"/>
      <c r="U26" s="555"/>
      <c r="V26" s="555"/>
      <c r="W26" s="555"/>
      <c r="X26" s="11"/>
      <c r="Y26" s="11"/>
      <c r="Z26" s="555"/>
      <c r="AA26" s="555"/>
      <c r="AB26" s="555"/>
      <c r="AC26" s="555"/>
      <c r="AD26" s="19"/>
      <c r="AE26" s="19"/>
      <c r="AF26" s="649"/>
      <c r="AG26" s="649"/>
      <c r="AH26" s="649"/>
      <c r="AI26" s="649"/>
      <c r="AJ26" s="649"/>
      <c r="AK26" s="19"/>
    </row>
  </sheetData>
  <mergeCells count="25">
    <mergeCell ref="B1:AI1"/>
    <mergeCell ref="B2:AI2"/>
    <mergeCell ref="B7:B10"/>
    <mergeCell ref="D7:D10"/>
    <mergeCell ref="E7:E10"/>
    <mergeCell ref="F7:F10"/>
    <mergeCell ref="G7:G10"/>
    <mergeCell ref="H7:AI7"/>
    <mergeCell ref="AD9:AI9"/>
    <mergeCell ref="AJ7:AJ10"/>
    <mergeCell ref="H8:K8"/>
    <mergeCell ref="L8:Q8"/>
    <mergeCell ref="R8:W8"/>
    <mergeCell ref="X8:AC8"/>
    <mergeCell ref="AD8:AI8"/>
    <mergeCell ref="H9:K9"/>
    <mergeCell ref="L9:Q9"/>
    <mergeCell ref="R9:W9"/>
    <mergeCell ref="X9:AC9"/>
    <mergeCell ref="AA25:AG25"/>
    <mergeCell ref="D12:D13"/>
    <mergeCell ref="F19:G19"/>
    <mergeCell ref="AA19:AG19"/>
    <mergeCell ref="AA20:AG20"/>
    <mergeCell ref="AA23:AG23"/>
  </mergeCells>
  <pageMargins left="0.11811023622047245" right="0.19685039370078741" top="0.43" bottom="0.74803149606299213" header="0.31496062992125984" footer="0.31496062992125984"/>
  <pageSetup paperSize="5" scale="70" orientation="landscape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FD1172"/>
  <sheetViews>
    <sheetView topLeftCell="A1045" workbookViewId="0">
      <selection activeCell="F1048" sqref="F1048"/>
    </sheetView>
  </sheetViews>
  <sheetFormatPr defaultRowHeight="15"/>
  <cols>
    <col min="1" max="1" width="4.42578125" customWidth="1"/>
    <col min="2" max="2" width="3.85546875" customWidth="1"/>
    <col min="3" max="3" width="44.85546875" customWidth="1"/>
    <col min="4" max="4" width="12.28515625" style="128" customWidth="1"/>
    <col min="5" max="6" width="11.28515625" style="128" customWidth="1"/>
    <col min="7" max="7" width="13.140625" style="128" customWidth="1"/>
    <col min="8" max="8" width="6.85546875" customWidth="1"/>
    <col min="9" max="9" width="13.140625" customWidth="1"/>
    <col min="10" max="10" width="6.7109375" customWidth="1"/>
    <col min="11" max="11" width="14.140625" style="128" customWidth="1"/>
    <col min="12" max="12" width="10.85546875" customWidth="1"/>
    <col min="13" max="13" width="10.28515625" customWidth="1"/>
    <col min="14" max="14" width="14.28515625" style="161" bestFit="1" customWidth="1"/>
    <col min="15" max="15" width="14.28515625" bestFit="1" customWidth="1"/>
  </cols>
  <sheetData>
    <row r="1" spans="1:14" ht="15.75">
      <c r="A1" s="832" t="s">
        <v>223</v>
      </c>
      <c r="B1" s="832"/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</row>
    <row r="2" spans="1:14" ht="15.75">
      <c r="A2" s="832" t="s">
        <v>224</v>
      </c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</row>
    <row r="3" spans="1:14" ht="15.75">
      <c r="A3" s="541"/>
      <c r="B3" s="541"/>
      <c r="C3" s="541"/>
      <c r="D3" s="541"/>
      <c r="E3" s="541"/>
      <c r="F3" s="541"/>
      <c r="G3" s="303"/>
      <c r="H3" s="541"/>
      <c r="I3" s="541"/>
      <c r="J3" s="541"/>
      <c r="K3" s="303"/>
      <c r="L3" s="541"/>
      <c r="M3" s="541"/>
    </row>
    <row r="4" spans="1:14" ht="16.5">
      <c r="A4" s="1" t="s">
        <v>213</v>
      </c>
      <c r="B4" s="2"/>
      <c r="C4" s="3" t="s">
        <v>2</v>
      </c>
      <c r="E4" s="108"/>
      <c r="G4" s="304"/>
      <c r="H4" s="4"/>
      <c r="I4" s="5"/>
      <c r="J4" s="4"/>
      <c r="M4" s="4"/>
    </row>
    <row r="5" spans="1:14" ht="17.25" thickBot="1">
      <c r="A5" s="14" t="s">
        <v>225</v>
      </c>
      <c r="B5" s="14"/>
      <c r="C5" s="292" t="s">
        <v>226</v>
      </c>
      <c r="D5" s="129"/>
      <c r="E5" s="109"/>
      <c r="F5" s="129"/>
      <c r="G5" s="305"/>
      <c r="H5" s="14"/>
      <c r="I5" s="16"/>
      <c r="J5" s="14"/>
      <c r="K5" s="129"/>
      <c r="L5" s="15"/>
      <c r="M5" s="14"/>
    </row>
    <row r="6" spans="1:14" ht="15.75" thickTop="1">
      <c r="A6" s="833" t="s">
        <v>3</v>
      </c>
      <c r="B6" s="836" t="s">
        <v>4</v>
      </c>
      <c r="C6" s="837"/>
      <c r="D6" s="289" t="s">
        <v>5</v>
      </c>
      <c r="E6" s="110" t="s">
        <v>6</v>
      </c>
      <c r="F6" s="130"/>
      <c r="G6" s="842" t="s">
        <v>7</v>
      </c>
      <c r="H6" s="843"/>
      <c r="I6" s="843"/>
      <c r="J6" s="843"/>
      <c r="K6" s="844" t="s">
        <v>8</v>
      </c>
      <c r="L6" s="844"/>
      <c r="M6" s="833" t="s">
        <v>9</v>
      </c>
    </row>
    <row r="7" spans="1:14">
      <c r="A7" s="834"/>
      <c r="B7" s="838"/>
      <c r="C7" s="839"/>
      <c r="D7" s="290" t="s">
        <v>10</v>
      </c>
      <c r="E7" s="111" t="s">
        <v>11</v>
      </c>
      <c r="F7" s="111" t="s">
        <v>12</v>
      </c>
      <c r="G7" s="111" t="s">
        <v>13</v>
      </c>
      <c r="H7" s="845" t="s">
        <v>14</v>
      </c>
      <c r="I7" s="6" t="s">
        <v>15</v>
      </c>
      <c r="J7" s="846" t="s">
        <v>14</v>
      </c>
      <c r="K7" s="321" t="s">
        <v>16</v>
      </c>
      <c r="L7" s="7" t="s">
        <v>17</v>
      </c>
      <c r="M7" s="834"/>
    </row>
    <row r="8" spans="1:14">
      <c r="A8" s="835"/>
      <c r="B8" s="840"/>
      <c r="C8" s="841"/>
      <c r="D8" s="291" t="s">
        <v>18</v>
      </c>
      <c r="E8" s="112" t="s">
        <v>18</v>
      </c>
      <c r="F8" s="112"/>
      <c r="G8" s="306" t="s">
        <v>19</v>
      </c>
      <c r="H8" s="835"/>
      <c r="I8" s="8" t="s">
        <v>19</v>
      </c>
      <c r="J8" s="847"/>
      <c r="K8" s="322" t="s">
        <v>18</v>
      </c>
      <c r="L8" s="9" t="s">
        <v>18</v>
      </c>
      <c r="M8" s="835"/>
    </row>
    <row r="9" spans="1:14" ht="15.75" thickBot="1">
      <c r="A9" s="17">
        <v>1</v>
      </c>
      <c r="B9" s="828">
        <v>2</v>
      </c>
      <c r="C9" s="829"/>
      <c r="D9" s="113">
        <v>3</v>
      </c>
      <c r="E9" s="113">
        <v>4</v>
      </c>
      <c r="F9" s="113">
        <v>5</v>
      </c>
      <c r="G9" s="113">
        <v>6</v>
      </c>
      <c r="H9" s="18">
        <v>7</v>
      </c>
      <c r="I9" s="18">
        <v>8</v>
      </c>
      <c r="J9" s="18">
        <v>9</v>
      </c>
      <c r="K9" s="113">
        <v>10</v>
      </c>
      <c r="L9" s="18">
        <v>11</v>
      </c>
      <c r="M9" s="18">
        <v>12</v>
      </c>
    </row>
    <row r="10" spans="1:14" s="29" customFormat="1" ht="15.75" thickBot="1">
      <c r="A10" s="35" t="s">
        <v>20</v>
      </c>
      <c r="B10" s="36" t="s">
        <v>21</v>
      </c>
      <c r="C10" s="37"/>
      <c r="D10" s="30">
        <f>D11+D12</f>
        <v>2257113000</v>
      </c>
      <c r="E10" s="30">
        <f>E11</f>
        <v>0</v>
      </c>
      <c r="F10" s="30">
        <v>0</v>
      </c>
      <c r="G10" s="30">
        <v>123027992</v>
      </c>
      <c r="H10" s="214">
        <f>G10/D10*100</f>
        <v>5.4506793412647037</v>
      </c>
      <c r="I10" s="30">
        <f>G10</f>
        <v>123027992</v>
      </c>
      <c r="J10" s="217">
        <f>I10/D10*100</f>
        <v>5.4506793412647037</v>
      </c>
      <c r="K10" s="142">
        <v>0</v>
      </c>
      <c r="L10" s="142">
        <v>0</v>
      </c>
      <c r="M10" s="53"/>
      <c r="N10" s="162"/>
    </row>
    <row r="11" spans="1:14" s="29" customFormat="1" ht="15.75" thickBot="1">
      <c r="A11" s="38" t="s">
        <v>22</v>
      </c>
      <c r="B11" s="39" t="s">
        <v>23</v>
      </c>
      <c r="C11" s="40"/>
      <c r="D11" s="31">
        <v>1872153000</v>
      </c>
      <c r="E11" s="114">
        <v>0</v>
      </c>
      <c r="F11" s="30">
        <v>0</v>
      </c>
      <c r="G11" s="143">
        <v>123027992</v>
      </c>
      <c r="H11" s="214">
        <f>G11/D11*100</f>
        <v>6.5714710282760009</v>
      </c>
      <c r="I11" s="143">
        <f>G11</f>
        <v>123027992</v>
      </c>
      <c r="J11" s="217">
        <f>I11/D11*100</f>
        <v>6.5714710282760009</v>
      </c>
      <c r="K11" s="145">
        <v>0</v>
      </c>
      <c r="L11" s="145">
        <v>0</v>
      </c>
      <c r="M11" s="146"/>
      <c r="N11" s="162"/>
    </row>
    <row r="12" spans="1:14" s="29" customFormat="1" ht="15.75" thickBot="1">
      <c r="A12" s="139"/>
      <c r="B12" s="140" t="s">
        <v>107</v>
      </c>
      <c r="C12" s="141"/>
      <c r="D12" s="31">
        <v>384960000</v>
      </c>
      <c r="E12" s="114">
        <v>0</v>
      </c>
      <c r="F12" s="30">
        <v>0</v>
      </c>
      <c r="G12" s="147">
        <v>0</v>
      </c>
      <c r="H12" s="53">
        <v>0</v>
      </c>
      <c r="I12" s="190">
        <v>0</v>
      </c>
      <c r="J12" s="148">
        <v>0</v>
      </c>
      <c r="K12" s="145">
        <v>0</v>
      </c>
      <c r="L12" s="145">
        <v>0</v>
      </c>
      <c r="M12" s="149"/>
      <c r="N12" s="162"/>
    </row>
    <row r="13" spans="1:14" s="29" customFormat="1" ht="15.75" thickBot="1">
      <c r="A13" s="35" t="s">
        <v>24</v>
      </c>
      <c r="B13" s="36" t="s">
        <v>25</v>
      </c>
      <c r="C13" s="37"/>
      <c r="D13" s="30">
        <f>D30+D40+D43+D47+D50+D53+D59+D62+D66+D69+D73+D76+D79+D82+D86+D89+D92+D97+D101+D104+D109+D112+D115+D118</f>
        <v>994212000</v>
      </c>
      <c r="E13" s="30">
        <v>0</v>
      </c>
      <c r="F13" s="30">
        <v>0</v>
      </c>
      <c r="G13" s="30">
        <v>0</v>
      </c>
      <c r="H13" s="30">
        <f>G13/D13*100</f>
        <v>0</v>
      </c>
      <c r="I13" s="114">
        <v>0</v>
      </c>
      <c r="J13" s="30">
        <f>I13/D13*100</f>
        <v>0</v>
      </c>
      <c r="K13" s="216">
        <v>0</v>
      </c>
      <c r="L13" s="215">
        <v>0</v>
      </c>
      <c r="M13" s="30"/>
      <c r="N13" s="162"/>
    </row>
    <row r="14" spans="1:14" s="29" customFormat="1">
      <c r="A14" s="41" t="s">
        <v>26</v>
      </c>
      <c r="B14" s="42" t="s">
        <v>27</v>
      </c>
      <c r="C14" s="43"/>
      <c r="D14" s="32"/>
      <c r="E14" s="115"/>
      <c r="F14" s="32"/>
      <c r="G14" s="150"/>
      <c r="H14" s="151"/>
      <c r="I14" s="191"/>
      <c r="J14" s="150"/>
      <c r="K14" s="32"/>
      <c r="L14" s="32"/>
      <c r="M14" s="32"/>
      <c r="N14" s="162"/>
    </row>
    <row r="15" spans="1:14" s="29" customFormat="1">
      <c r="A15" s="44"/>
      <c r="B15" s="45" t="s">
        <v>26</v>
      </c>
      <c r="C15" s="46" t="s">
        <v>28</v>
      </c>
      <c r="D15" s="33">
        <v>6000000</v>
      </c>
      <c r="E15" s="116">
        <v>0</v>
      </c>
      <c r="F15" s="131">
        <v>0</v>
      </c>
      <c r="G15" s="192">
        <v>0</v>
      </c>
      <c r="H15" s="102">
        <f>G15/D15*100</f>
        <v>0</v>
      </c>
      <c r="I15" s="192">
        <v>0</v>
      </c>
      <c r="J15" s="59">
        <v>0</v>
      </c>
      <c r="K15" s="409">
        <v>8.3333333333333329E-2</v>
      </c>
      <c r="L15" s="152"/>
      <c r="M15" s="131"/>
      <c r="N15" s="162"/>
    </row>
    <row r="16" spans="1:14" s="29" customFormat="1">
      <c r="A16" s="44"/>
      <c r="B16" s="47" t="s">
        <v>29</v>
      </c>
      <c r="C16" s="48" t="s">
        <v>30</v>
      </c>
      <c r="D16" s="34">
        <v>8000000</v>
      </c>
      <c r="E16" s="117">
        <v>0</v>
      </c>
      <c r="F16" s="132">
        <v>0</v>
      </c>
      <c r="G16" s="192">
        <v>0</v>
      </c>
      <c r="H16" s="60">
        <f t="shared" ref="H16:H29" si="0">G16/D16*100</f>
        <v>0</v>
      </c>
      <c r="I16" s="192">
        <v>0</v>
      </c>
      <c r="J16" s="59">
        <f t="shared" ref="J16:J29" si="1">I16/D16*100</f>
        <v>0</v>
      </c>
      <c r="K16" s="409">
        <v>8.3333333333333329E-2</v>
      </c>
      <c r="L16" s="59">
        <v>0</v>
      </c>
      <c r="M16" s="132"/>
      <c r="N16" s="162"/>
    </row>
    <row r="17" spans="1:14" s="29" customFormat="1">
      <c r="A17" s="44"/>
      <c r="B17" s="47" t="s">
        <v>29</v>
      </c>
      <c r="C17" s="48" t="s">
        <v>31</v>
      </c>
      <c r="D17" s="34">
        <v>5000000</v>
      </c>
      <c r="E17" s="117">
        <v>0</v>
      </c>
      <c r="F17" s="132">
        <v>0</v>
      </c>
      <c r="G17" s="192">
        <v>0</v>
      </c>
      <c r="H17" s="60">
        <f t="shared" si="0"/>
        <v>0</v>
      </c>
      <c r="I17" s="192">
        <v>0</v>
      </c>
      <c r="J17" s="59">
        <f t="shared" si="1"/>
        <v>0</v>
      </c>
      <c r="K17" s="409">
        <v>8.3333333333333329E-2</v>
      </c>
      <c r="L17" s="59">
        <v>0</v>
      </c>
      <c r="M17" s="132"/>
      <c r="N17" s="162"/>
    </row>
    <row r="18" spans="1:14" s="29" customFormat="1">
      <c r="A18" s="44"/>
      <c r="B18" s="47" t="s">
        <v>29</v>
      </c>
      <c r="C18" s="48" t="s">
        <v>32</v>
      </c>
      <c r="D18" s="34">
        <v>12000000</v>
      </c>
      <c r="E18" s="117">
        <v>0</v>
      </c>
      <c r="F18" s="132">
        <v>0</v>
      </c>
      <c r="G18" s="192">
        <v>0</v>
      </c>
      <c r="H18" s="60">
        <f t="shared" si="0"/>
        <v>0</v>
      </c>
      <c r="I18" s="192">
        <v>0</v>
      </c>
      <c r="J18" s="59">
        <f t="shared" si="1"/>
        <v>0</v>
      </c>
      <c r="K18" s="409">
        <v>8.3333333333333329E-2</v>
      </c>
      <c r="L18" s="59">
        <v>0</v>
      </c>
      <c r="M18" s="132"/>
      <c r="N18" s="162"/>
    </row>
    <row r="19" spans="1:14" s="29" customFormat="1">
      <c r="A19" s="44"/>
      <c r="B19" s="47" t="s">
        <v>33</v>
      </c>
      <c r="C19" s="48" t="s">
        <v>34</v>
      </c>
      <c r="D19" s="34">
        <v>12105000</v>
      </c>
      <c r="E19" s="117">
        <v>0</v>
      </c>
      <c r="F19" s="132">
        <v>0</v>
      </c>
      <c r="G19" s="192">
        <v>0</v>
      </c>
      <c r="H19" s="60">
        <f t="shared" si="0"/>
        <v>0</v>
      </c>
      <c r="I19" s="192">
        <f t="shared" ref="I19:I27" si="2">G19</f>
        <v>0</v>
      </c>
      <c r="J19" s="59">
        <f t="shared" si="1"/>
        <v>0</v>
      </c>
      <c r="K19" s="409">
        <v>8.3333333333333329E-2</v>
      </c>
      <c r="L19" s="59">
        <v>0</v>
      </c>
      <c r="M19" s="132"/>
      <c r="N19" s="162"/>
    </row>
    <row r="20" spans="1:14" s="29" customFormat="1">
      <c r="A20" s="44"/>
      <c r="B20" s="47">
        <v>10</v>
      </c>
      <c r="C20" s="48" t="s">
        <v>35</v>
      </c>
      <c r="D20" s="34">
        <v>11895000</v>
      </c>
      <c r="E20" s="117">
        <v>0</v>
      </c>
      <c r="F20" s="132">
        <v>0</v>
      </c>
      <c r="G20" s="192">
        <v>0</v>
      </c>
      <c r="H20" s="60">
        <f t="shared" si="0"/>
        <v>0</v>
      </c>
      <c r="I20" s="192">
        <f t="shared" si="2"/>
        <v>0</v>
      </c>
      <c r="J20" s="59">
        <f t="shared" si="1"/>
        <v>0</v>
      </c>
      <c r="K20" s="409">
        <v>8.3333333333333329E-2</v>
      </c>
      <c r="L20" s="59">
        <v>0</v>
      </c>
      <c r="M20" s="132"/>
      <c r="N20" s="162"/>
    </row>
    <row r="21" spans="1:14" s="29" customFormat="1">
      <c r="A21" s="44"/>
      <c r="B21" s="47">
        <v>11</v>
      </c>
      <c r="C21" s="48" t="s">
        <v>36</v>
      </c>
      <c r="D21" s="34">
        <v>6000000</v>
      </c>
      <c r="E21" s="117">
        <v>0</v>
      </c>
      <c r="F21" s="132">
        <v>0</v>
      </c>
      <c r="G21" s="192">
        <v>0</v>
      </c>
      <c r="H21" s="60">
        <f t="shared" si="0"/>
        <v>0</v>
      </c>
      <c r="I21" s="192">
        <f t="shared" si="2"/>
        <v>0</v>
      </c>
      <c r="J21" s="59">
        <f t="shared" si="1"/>
        <v>0</v>
      </c>
      <c r="K21" s="409">
        <v>8.3333333333333329E-2</v>
      </c>
      <c r="L21" s="59">
        <v>0</v>
      </c>
      <c r="M21" s="132"/>
      <c r="N21" s="162"/>
    </row>
    <row r="22" spans="1:14" s="29" customFormat="1">
      <c r="A22" s="44"/>
      <c r="B22" s="47">
        <v>11</v>
      </c>
      <c r="C22" s="48" t="s">
        <v>37</v>
      </c>
      <c r="D22" s="34">
        <v>18000000</v>
      </c>
      <c r="E22" s="117">
        <v>0</v>
      </c>
      <c r="F22" s="132">
        <v>0</v>
      </c>
      <c r="G22" s="192">
        <v>0</v>
      </c>
      <c r="H22" s="60">
        <f t="shared" si="0"/>
        <v>0</v>
      </c>
      <c r="I22" s="192">
        <v>0</v>
      </c>
      <c r="J22" s="59">
        <f t="shared" si="1"/>
        <v>0</v>
      </c>
      <c r="K22" s="409">
        <v>8.3333333333333329E-2</v>
      </c>
      <c r="L22" s="59">
        <v>0</v>
      </c>
      <c r="M22" s="132"/>
      <c r="N22" s="162"/>
    </row>
    <row r="23" spans="1:14" s="29" customFormat="1">
      <c r="A23" s="44"/>
      <c r="B23" s="47">
        <v>12</v>
      </c>
      <c r="C23" s="48" t="s">
        <v>38</v>
      </c>
      <c r="D23" s="34">
        <v>5000000</v>
      </c>
      <c r="E23" s="117">
        <v>0</v>
      </c>
      <c r="F23" s="132">
        <v>0</v>
      </c>
      <c r="G23" s="192">
        <v>0</v>
      </c>
      <c r="H23" s="60">
        <f t="shared" si="0"/>
        <v>0</v>
      </c>
      <c r="I23" s="192">
        <f t="shared" si="2"/>
        <v>0</v>
      </c>
      <c r="J23" s="59">
        <f t="shared" si="1"/>
        <v>0</v>
      </c>
      <c r="K23" s="409">
        <v>8.3333333333333329E-2</v>
      </c>
      <c r="L23" s="59">
        <v>0</v>
      </c>
      <c r="M23" s="132"/>
      <c r="N23" s="162"/>
    </row>
    <row r="24" spans="1:14" s="29" customFormat="1">
      <c r="A24" s="44"/>
      <c r="B24" s="47">
        <v>13</v>
      </c>
      <c r="C24" s="48" t="s">
        <v>39</v>
      </c>
      <c r="D24" s="34">
        <v>5000000</v>
      </c>
      <c r="E24" s="117">
        <v>0</v>
      </c>
      <c r="F24" s="132">
        <v>0</v>
      </c>
      <c r="G24" s="192">
        <v>0</v>
      </c>
      <c r="H24" s="60">
        <f t="shared" si="0"/>
        <v>0</v>
      </c>
      <c r="I24" s="192">
        <v>0</v>
      </c>
      <c r="J24" s="59">
        <f t="shared" si="1"/>
        <v>0</v>
      </c>
      <c r="K24" s="409">
        <v>8.3333333333333329E-2</v>
      </c>
      <c r="L24" s="59">
        <v>0</v>
      </c>
      <c r="M24" s="132"/>
      <c r="N24" s="162"/>
    </row>
    <row r="25" spans="1:14" s="29" customFormat="1">
      <c r="A25" s="44"/>
      <c r="B25" s="47">
        <v>15</v>
      </c>
      <c r="C25" s="48" t="s">
        <v>40</v>
      </c>
      <c r="D25" s="34">
        <v>3000000</v>
      </c>
      <c r="E25" s="117">
        <v>0</v>
      </c>
      <c r="F25" s="132">
        <v>0</v>
      </c>
      <c r="G25" s="192">
        <v>0</v>
      </c>
      <c r="H25" s="60">
        <f t="shared" si="0"/>
        <v>0</v>
      </c>
      <c r="I25" s="192">
        <f t="shared" si="2"/>
        <v>0</v>
      </c>
      <c r="J25" s="59">
        <f t="shared" si="1"/>
        <v>0</v>
      </c>
      <c r="K25" s="409">
        <v>8.3333333333333329E-2</v>
      </c>
      <c r="L25" s="59">
        <v>0</v>
      </c>
      <c r="M25" s="132"/>
      <c r="N25" s="162"/>
    </row>
    <row r="26" spans="1:14" s="29" customFormat="1">
      <c r="A26" s="44"/>
      <c r="B26" s="47">
        <v>17</v>
      </c>
      <c r="C26" s="48" t="s">
        <v>41</v>
      </c>
      <c r="D26" s="34">
        <v>5000000</v>
      </c>
      <c r="E26" s="117">
        <v>0</v>
      </c>
      <c r="F26" s="132">
        <v>0</v>
      </c>
      <c r="G26" s="192">
        <v>0</v>
      </c>
      <c r="H26" s="60">
        <f t="shared" si="0"/>
        <v>0</v>
      </c>
      <c r="I26" s="192">
        <v>0</v>
      </c>
      <c r="J26" s="59">
        <f t="shared" si="1"/>
        <v>0</v>
      </c>
      <c r="K26" s="409">
        <v>8.3333333333333329E-2</v>
      </c>
      <c r="L26" s="59">
        <v>0</v>
      </c>
      <c r="M26" s="132"/>
      <c r="N26" s="162"/>
    </row>
    <row r="27" spans="1:14" s="29" customFormat="1">
      <c r="A27" s="44"/>
      <c r="B27" s="47">
        <v>17</v>
      </c>
      <c r="C27" s="48" t="s">
        <v>42</v>
      </c>
      <c r="D27" s="34">
        <v>7000000</v>
      </c>
      <c r="E27" s="117">
        <v>0</v>
      </c>
      <c r="F27" s="132">
        <v>0</v>
      </c>
      <c r="G27" s="192">
        <v>0</v>
      </c>
      <c r="H27" s="60">
        <f t="shared" si="0"/>
        <v>0</v>
      </c>
      <c r="I27" s="192">
        <f t="shared" si="2"/>
        <v>0</v>
      </c>
      <c r="J27" s="59">
        <f t="shared" si="1"/>
        <v>0</v>
      </c>
      <c r="K27" s="409">
        <v>8.3333333333333329E-2</v>
      </c>
      <c r="L27" s="59">
        <v>0</v>
      </c>
      <c r="M27" s="132"/>
      <c r="N27" s="162"/>
    </row>
    <row r="28" spans="1:14" s="29" customFormat="1">
      <c r="A28" s="44"/>
      <c r="B28" s="47">
        <v>18</v>
      </c>
      <c r="C28" s="48" t="s">
        <v>43</v>
      </c>
      <c r="D28" s="34">
        <v>15000000</v>
      </c>
      <c r="E28" s="117">
        <v>0</v>
      </c>
      <c r="F28" s="132">
        <v>0</v>
      </c>
      <c r="G28" s="192">
        <v>0</v>
      </c>
      <c r="H28" s="60">
        <f t="shared" si="0"/>
        <v>0</v>
      </c>
      <c r="I28" s="192">
        <v>0</v>
      </c>
      <c r="J28" s="59">
        <f t="shared" si="1"/>
        <v>0</v>
      </c>
      <c r="K28" s="409">
        <v>8.3333333333333329E-2</v>
      </c>
      <c r="L28" s="59">
        <v>0</v>
      </c>
      <c r="M28" s="132"/>
      <c r="N28" s="162"/>
    </row>
    <row r="29" spans="1:14" s="29" customFormat="1" ht="15.75" thickBot="1">
      <c r="A29" s="44"/>
      <c r="B29" s="49">
        <v>19</v>
      </c>
      <c r="C29" s="50" t="s">
        <v>44</v>
      </c>
      <c r="D29" s="51">
        <v>51212000</v>
      </c>
      <c r="E29" s="118">
        <v>0</v>
      </c>
      <c r="F29" s="133">
        <v>0</v>
      </c>
      <c r="G29" s="192">
        <v>0</v>
      </c>
      <c r="H29" s="62">
        <f t="shared" si="0"/>
        <v>0</v>
      </c>
      <c r="I29" s="193">
        <v>0</v>
      </c>
      <c r="J29" s="153">
        <f t="shared" si="1"/>
        <v>0</v>
      </c>
      <c r="K29" s="409">
        <v>8.3333333333333329E-2</v>
      </c>
      <c r="L29" s="153">
        <v>0</v>
      </c>
      <c r="M29" s="133"/>
      <c r="N29" s="162"/>
    </row>
    <row r="30" spans="1:14" s="29" customFormat="1" ht="15.75" thickBot="1">
      <c r="A30" s="35"/>
      <c r="B30" s="52"/>
      <c r="C30" s="37" t="s">
        <v>45</v>
      </c>
      <c r="D30" s="53">
        <f>SUM(D15:D29)</f>
        <v>170212000</v>
      </c>
      <c r="E30" s="53">
        <f t="shared" ref="E30:I30" si="3">SUM(E15:E29)</f>
        <v>0</v>
      </c>
      <c r="F30" s="53">
        <f t="shared" si="3"/>
        <v>0</v>
      </c>
      <c r="G30" s="53">
        <f t="shared" si="3"/>
        <v>0</v>
      </c>
      <c r="H30" s="53">
        <f t="shared" si="3"/>
        <v>0</v>
      </c>
      <c r="I30" s="194">
        <f t="shared" si="3"/>
        <v>0</v>
      </c>
      <c r="J30" s="53">
        <f>I30/D30*100</f>
        <v>0</v>
      </c>
      <c r="K30" s="53">
        <f t="shared" ref="K30:L30" si="4">SUM(K15:K29)</f>
        <v>1.2499999999999998</v>
      </c>
      <c r="L30" s="53">
        <f t="shared" si="4"/>
        <v>0</v>
      </c>
      <c r="M30" s="53"/>
      <c r="N30" s="162"/>
    </row>
    <row r="31" spans="1:14" s="29" customFormat="1">
      <c r="A31" s="54" t="s">
        <v>29</v>
      </c>
      <c r="B31" s="55" t="s">
        <v>90</v>
      </c>
      <c r="C31" s="56"/>
      <c r="D31" s="57"/>
      <c r="E31" s="119"/>
      <c r="F31" s="131"/>
      <c r="G31" s="152"/>
      <c r="H31" s="152"/>
      <c r="I31" s="119"/>
      <c r="J31" s="152"/>
      <c r="K31" s="152"/>
      <c r="L31" s="152"/>
      <c r="M31" s="131"/>
      <c r="N31" s="162"/>
    </row>
    <row r="32" spans="1:14" s="281" customFormat="1">
      <c r="A32" s="279"/>
      <c r="B32" s="47" t="s">
        <v>53</v>
      </c>
      <c r="C32" s="46" t="s">
        <v>216</v>
      </c>
      <c r="D32" s="80">
        <v>40000000</v>
      </c>
      <c r="E32" s="119"/>
      <c r="F32" s="131"/>
      <c r="G32" s="152"/>
      <c r="H32" s="152"/>
      <c r="I32" s="119"/>
      <c r="J32" s="152"/>
      <c r="K32" s="152"/>
      <c r="L32" s="152"/>
      <c r="M32" s="131"/>
      <c r="N32" s="280"/>
    </row>
    <row r="33" spans="1:14" s="29" customFormat="1">
      <c r="A33" s="44"/>
      <c r="B33" s="47" t="s">
        <v>46</v>
      </c>
      <c r="C33" s="58" t="s">
        <v>110</v>
      </c>
      <c r="D33" s="59">
        <v>20000000</v>
      </c>
      <c r="E33" s="120">
        <v>0</v>
      </c>
      <c r="F33" s="132">
        <v>0</v>
      </c>
      <c r="G33" s="119" t="s">
        <v>132</v>
      </c>
      <c r="H33" s="59" t="s">
        <v>132</v>
      </c>
      <c r="I33" s="119" t="str">
        <f>G33</f>
        <v>-</v>
      </c>
      <c r="J33" s="59" t="s">
        <v>132</v>
      </c>
      <c r="K33" s="59">
        <v>0</v>
      </c>
      <c r="L33" s="59">
        <v>0</v>
      </c>
      <c r="M33" s="132"/>
      <c r="N33" s="162"/>
    </row>
    <row r="34" spans="1:14" s="29" customFormat="1">
      <c r="A34" s="44"/>
      <c r="B34" s="47">
        <v>21</v>
      </c>
      <c r="C34" s="48" t="s">
        <v>47</v>
      </c>
      <c r="D34" s="59">
        <v>30000000</v>
      </c>
      <c r="E34" s="120">
        <v>0</v>
      </c>
      <c r="F34" s="132">
        <v>0</v>
      </c>
      <c r="G34" s="206" t="s">
        <v>132</v>
      </c>
      <c r="H34" s="59" t="s">
        <v>132</v>
      </c>
      <c r="I34" s="119" t="str">
        <f t="shared" ref="I34:I35" si="5">G34</f>
        <v>-</v>
      </c>
      <c r="J34" s="59" t="s">
        <v>132</v>
      </c>
      <c r="K34" s="59">
        <v>0</v>
      </c>
      <c r="L34" s="59">
        <v>0</v>
      </c>
      <c r="M34" s="132"/>
      <c r="N34" s="162"/>
    </row>
    <row r="35" spans="1:14" s="29" customFormat="1">
      <c r="A35" s="44"/>
      <c r="B35" s="47">
        <v>22</v>
      </c>
      <c r="C35" s="48" t="s">
        <v>48</v>
      </c>
      <c r="D35" s="60">
        <v>30000000</v>
      </c>
      <c r="E35" s="120">
        <v>0</v>
      </c>
      <c r="F35" s="132">
        <v>0</v>
      </c>
      <c r="G35" s="206" t="s">
        <v>132</v>
      </c>
      <c r="H35" s="59" t="s">
        <v>132</v>
      </c>
      <c r="I35" s="119" t="str">
        <f t="shared" si="5"/>
        <v>-</v>
      </c>
      <c r="J35" s="59" t="s">
        <v>132</v>
      </c>
      <c r="K35" s="59">
        <v>0</v>
      </c>
      <c r="L35" s="59">
        <v>0</v>
      </c>
      <c r="M35" s="154"/>
      <c r="N35" s="162"/>
    </row>
    <row r="36" spans="1:14" s="29" customFormat="1">
      <c r="A36" s="44"/>
      <c r="B36" s="47">
        <v>24</v>
      </c>
      <c r="C36" s="48" t="s">
        <v>49</v>
      </c>
      <c r="D36" s="60">
        <v>35000000</v>
      </c>
      <c r="E36" s="120">
        <v>0</v>
      </c>
      <c r="F36" s="132">
        <v>0</v>
      </c>
      <c r="G36" s="206" t="s">
        <v>132</v>
      </c>
      <c r="H36" s="59" t="s">
        <v>132</v>
      </c>
      <c r="I36" s="119" t="s">
        <v>132</v>
      </c>
      <c r="J36" s="59" t="s">
        <v>132</v>
      </c>
      <c r="K36" s="59">
        <v>0</v>
      </c>
      <c r="L36" s="59">
        <v>0</v>
      </c>
      <c r="M36" s="132"/>
      <c r="N36" s="162"/>
    </row>
    <row r="37" spans="1:14" s="29" customFormat="1">
      <c r="A37" s="44"/>
      <c r="B37" s="47">
        <v>26</v>
      </c>
      <c r="C37" s="48" t="s">
        <v>50</v>
      </c>
      <c r="D37" s="60">
        <v>4000000</v>
      </c>
      <c r="E37" s="120">
        <v>0</v>
      </c>
      <c r="F37" s="132">
        <v>0</v>
      </c>
      <c r="G37" s="206" t="s">
        <v>132</v>
      </c>
      <c r="H37" s="59" t="s">
        <v>132</v>
      </c>
      <c r="I37" s="119" t="s">
        <v>132</v>
      </c>
      <c r="J37" s="59" t="s">
        <v>132</v>
      </c>
      <c r="K37" s="59">
        <v>0</v>
      </c>
      <c r="L37" s="59">
        <v>0</v>
      </c>
      <c r="M37" s="132"/>
      <c r="N37" s="162"/>
    </row>
    <row r="38" spans="1:14" s="29" customFormat="1">
      <c r="A38" s="44"/>
      <c r="B38" s="47">
        <v>28</v>
      </c>
      <c r="C38" s="48" t="s">
        <v>51</v>
      </c>
      <c r="D38" s="60">
        <v>12000000</v>
      </c>
      <c r="E38" s="120">
        <v>0</v>
      </c>
      <c r="F38" s="132">
        <v>0</v>
      </c>
      <c r="G38" s="206" t="s">
        <v>132</v>
      </c>
      <c r="H38" s="59" t="s">
        <v>132</v>
      </c>
      <c r="I38" s="119" t="s">
        <v>132</v>
      </c>
      <c r="J38" s="59" t="s">
        <v>132</v>
      </c>
      <c r="K38" s="59">
        <v>0</v>
      </c>
      <c r="L38" s="59">
        <v>0</v>
      </c>
      <c r="M38" s="132"/>
      <c r="N38" s="162"/>
    </row>
    <row r="39" spans="1:14" s="29" customFormat="1">
      <c r="A39" s="44"/>
      <c r="B39" s="61">
        <v>29</v>
      </c>
      <c r="C39" s="50" t="s">
        <v>52</v>
      </c>
      <c r="D39" s="62">
        <v>2000000</v>
      </c>
      <c r="E39" s="121">
        <v>0</v>
      </c>
      <c r="F39" s="133">
        <v>0</v>
      </c>
      <c r="G39" s="206" t="s">
        <v>132</v>
      </c>
      <c r="H39" s="59" t="s">
        <v>132</v>
      </c>
      <c r="I39" s="119" t="s">
        <v>132</v>
      </c>
      <c r="J39" s="59" t="s">
        <v>132</v>
      </c>
      <c r="K39" s="153">
        <v>0</v>
      </c>
      <c r="L39" s="153">
        <v>0</v>
      </c>
      <c r="M39" s="133"/>
      <c r="N39" s="162"/>
    </row>
    <row r="40" spans="1:14" s="29" customFormat="1">
      <c r="A40" s="63"/>
      <c r="B40" s="64"/>
      <c r="C40" s="65" t="s">
        <v>45</v>
      </c>
      <c r="D40" s="66">
        <f>SUM(D32:D39)</f>
        <v>173000000</v>
      </c>
      <c r="E40" s="122"/>
      <c r="F40" s="66"/>
      <c r="G40" s="195" t="s">
        <v>132</v>
      </c>
      <c r="H40" s="66" t="s">
        <v>132</v>
      </c>
      <c r="I40" s="195" t="s">
        <v>132</v>
      </c>
      <c r="J40" s="155" t="s">
        <v>132</v>
      </c>
      <c r="K40" s="66">
        <v>0</v>
      </c>
      <c r="L40" s="66">
        <v>0</v>
      </c>
      <c r="M40" s="66"/>
      <c r="N40" s="162"/>
    </row>
    <row r="41" spans="1:14" s="29" customFormat="1">
      <c r="A41" s="67" t="s">
        <v>53</v>
      </c>
      <c r="B41" s="68" t="s">
        <v>54</v>
      </c>
      <c r="C41" s="69"/>
      <c r="D41" s="70"/>
      <c r="E41" s="123"/>
      <c r="F41" s="134"/>
      <c r="G41" s="196"/>
      <c r="H41" s="144"/>
      <c r="I41" s="196"/>
      <c r="J41" s="156"/>
      <c r="K41" s="156"/>
      <c r="L41" s="156"/>
      <c r="M41" s="134"/>
      <c r="N41" s="162"/>
    </row>
    <row r="42" spans="1:14" s="29" customFormat="1">
      <c r="A42" s="44"/>
      <c r="B42" s="47" t="s">
        <v>26</v>
      </c>
      <c r="C42" s="48" t="s">
        <v>55</v>
      </c>
      <c r="D42" s="60">
        <v>25000000</v>
      </c>
      <c r="E42" s="120">
        <v>0</v>
      </c>
      <c r="F42" s="208">
        <v>0</v>
      </c>
      <c r="G42" s="197" t="s">
        <v>132</v>
      </c>
      <c r="H42" s="59" t="s">
        <v>132</v>
      </c>
      <c r="I42" s="197" t="s">
        <v>132</v>
      </c>
      <c r="J42" s="59" t="s">
        <v>132</v>
      </c>
      <c r="K42" s="59">
        <v>0</v>
      </c>
      <c r="L42" s="59">
        <v>0</v>
      </c>
      <c r="M42" s="132"/>
      <c r="N42" s="162"/>
    </row>
    <row r="43" spans="1:14" s="29" customFormat="1">
      <c r="A43" s="63"/>
      <c r="B43" s="71"/>
      <c r="C43" s="65" t="s">
        <v>45</v>
      </c>
      <c r="D43" s="66">
        <f>SUM(D42:D42)</f>
        <v>25000000</v>
      </c>
      <c r="E43" s="122">
        <f>SUM(E42:E42)</f>
        <v>0</v>
      </c>
      <c r="F43" s="202">
        <f>SUM(F42:F42)</f>
        <v>0</v>
      </c>
      <c r="G43" s="122" t="s">
        <v>132</v>
      </c>
      <c r="H43" s="66" t="s">
        <v>132</v>
      </c>
      <c r="I43" s="122" t="s">
        <v>132</v>
      </c>
      <c r="J43" s="155" t="s">
        <v>132</v>
      </c>
      <c r="K43" s="66">
        <f>SUM(K42:K42)</f>
        <v>0</v>
      </c>
      <c r="L43" s="66">
        <f>SUM(L42:L42)</f>
        <v>0</v>
      </c>
      <c r="M43" s="66"/>
      <c r="N43" s="162"/>
    </row>
    <row r="44" spans="1:14" s="29" customFormat="1">
      <c r="A44" s="44">
        <v>15</v>
      </c>
      <c r="B44" s="72" t="s">
        <v>61</v>
      </c>
      <c r="C44" s="73"/>
      <c r="D44" s="57"/>
      <c r="E44" s="119"/>
      <c r="F44" s="209"/>
      <c r="G44" s="119" t="s">
        <v>132</v>
      </c>
      <c r="H44" s="152" t="s">
        <v>132</v>
      </c>
      <c r="I44" s="119" t="s">
        <v>132</v>
      </c>
      <c r="J44" s="152" t="s">
        <v>132</v>
      </c>
      <c r="K44" s="152"/>
      <c r="L44" s="152"/>
      <c r="M44" s="131"/>
      <c r="N44" s="162"/>
    </row>
    <row r="45" spans="1:14" s="29" customFormat="1">
      <c r="A45" s="44"/>
      <c r="B45" s="47">
        <v>18</v>
      </c>
      <c r="C45" s="48" t="s">
        <v>62</v>
      </c>
      <c r="D45" s="60">
        <v>5000000</v>
      </c>
      <c r="E45" s="120">
        <v>0</v>
      </c>
      <c r="F45" s="208">
        <v>0</v>
      </c>
      <c r="G45" s="120" t="s">
        <v>132</v>
      </c>
      <c r="H45" s="59" t="s">
        <v>132</v>
      </c>
      <c r="I45" s="120" t="s">
        <v>132</v>
      </c>
      <c r="J45" s="59" t="s">
        <v>132</v>
      </c>
      <c r="K45" s="59">
        <v>0</v>
      </c>
      <c r="L45" s="59">
        <v>0</v>
      </c>
      <c r="M45" s="132"/>
      <c r="N45" s="162"/>
    </row>
    <row r="46" spans="1:14" s="29" customFormat="1" ht="25.5">
      <c r="A46" s="44"/>
      <c r="B46" s="49">
        <v>63</v>
      </c>
      <c r="C46" s="74" t="s">
        <v>63</v>
      </c>
      <c r="D46" s="62">
        <v>5000000</v>
      </c>
      <c r="E46" s="121">
        <v>0</v>
      </c>
      <c r="F46" s="210">
        <v>0</v>
      </c>
      <c r="G46" s="121" t="s">
        <v>132</v>
      </c>
      <c r="H46" s="153" t="s">
        <v>132</v>
      </c>
      <c r="I46" s="121" t="s">
        <v>132</v>
      </c>
      <c r="J46" s="153" t="s">
        <v>132</v>
      </c>
      <c r="K46" s="153">
        <v>0</v>
      </c>
      <c r="L46" s="153">
        <v>0</v>
      </c>
      <c r="M46" s="133"/>
      <c r="N46" s="162"/>
    </row>
    <row r="47" spans="1:14" s="29" customFormat="1">
      <c r="A47" s="63"/>
      <c r="B47" s="64"/>
      <c r="C47" s="65" t="s">
        <v>45</v>
      </c>
      <c r="D47" s="66">
        <f>SUM(D45:D46)</f>
        <v>10000000</v>
      </c>
      <c r="E47" s="122">
        <f t="shared" ref="E47:L47" si="6">SUM(E45:E46)</f>
        <v>0</v>
      </c>
      <c r="F47" s="202">
        <f>SUM(F45:F46)</f>
        <v>0</v>
      </c>
      <c r="G47" s="195" t="s">
        <v>132</v>
      </c>
      <c r="H47" s="66" t="s">
        <v>132</v>
      </c>
      <c r="I47" s="195" t="s">
        <v>132</v>
      </c>
      <c r="J47" s="155" t="s">
        <v>132</v>
      </c>
      <c r="K47" s="66">
        <f t="shared" si="6"/>
        <v>0</v>
      </c>
      <c r="L47" s="66">
        <f t="shared" si="6"/>
        <v>0</v>
      </c>
      <c r="M47" s="66"/>
      <c r="N47" s="162"/>
    </row>
    <row r="48" spans="1:14" s="29" customFormat="1">
      <c r="A48" s="44">
        <v>30</v>
      </c>
      <c r="B48" s="77" t="s">
        <v>64</v>
      </c>
      <c r="C48" s="78"/>
      <c r="D48" s="57"/>
      <c r="E48" s="119"/>
      <c r="F48" s="209"/>
      <c r="G48" s="119"/>
      <c r="H48" s="152"/>
      <c r="I48" s="119"/>
      <c r="J48" s="152"/>
      <c r="K48" s="152"/>
      <c r="L48" s="152"/>
      <c r="M48" s="131"/>
      <c r="N48" s="162"/>
    </row>
    <row r="49" spans="1:14" s="29" customFormat="1">
      <c r="A49" s="44"/>
      <c r="B49" s="45">
        <v>2</v>
      </c>
      <c r="C49" s="79" t="s">
        <v>102</v>
      </c>
      <c r="D49" s="80">
        <v>200000000</v>
      </c>
      <c r="E49" s="124">
        <v>0</v>
      </c>
      <c r="F49" s="209">
        <v>0</v>
      </c>
      <c r="G49" s="124">
        <v>0</v>
      </c>
      <c r="H49" s="152">
        <v>0</v>
      </c>
      <c r="I49" s="120" t="s">
        <v>132</v>
      </c>
      <c r="J49" s="152" t="s">
        <v>132</v>
      </c>
      <c r="K49" s="152">
        <v>0</v>
      </c>
      <c r="L49" s="152"/>
      <c r="M49" s="131"/>
      <c r="N49" s="162"/>
    </row>
    <row r="50" spans="1:14" s="29" customFormat="1">
      <c r="A50" s="63"/>
      <c r="B50" s="64"/>
      <c r="C50" s="65" t="s">
        <v>45</v>
      </c>
      <c r="D50" s="66">
        <f>SUM(D48:D49)</f>
        <v>200000000</v>
      </c>
      <c r="E50" s="66">
        <f>SUM(E48:E49)</f>
        <v>0</v>
      </c>
      <c r="F50" s="202">
        <f>SUM(F48:F49)</f>
        <v>0</v>
      </c>
      <c r="G50" s="122" t="s">
        <v>132</v>
      </c>
      <c r="H50" s="66" t="s">
        <v>132</v>
      </c>
      <c r="I50" s="122" t="s">
        <v>132</v>
      </c>
      <c r="J50" s="66" t="s">
        <v>132</v>
      </c>
      <c r="K50" s="66">
        <f>SUM(K48:K49)</f>
        <v>0</v>
      </c>
      <c r="L50" s="66">
        <f t="shared" ref="L50" si="7">SUM(L48:L49)</f>
        <v>0</v>
      </c>
      <c r="M50" s="66"/>
      <c r="N50" s="162"/>
    </row>
    <row r="51" spans="1:14" s="29" customFormat="1">
      <c r="A51" s="44">
        <v>21</v>
      </c>
      <c r="B51" s="81" t="s">
        <v>65</v>
      </c>
      <c r="C51" s="82"/>
      <c r="D51" s="57"/>
      <c r="E51" s="119"/>
      <c r="F51" s="209"/>
      <c r="G51" s="119"/>
      <c r="H51" s="152"/>
      <c r="I51" s="119"/>
      <c r="J51" s="152"/>
      <c r="K51" s="152"/>
      <c r="L51" s="152"/>
      <c r="M51" s="131"/>
      <c r="N51" s="162"/>
    </row>
    <row r="52" spans="1:14" s="29" customFormat="1">
      <c r="A52" s="44"/>
      <c r="B52" s="47" t="s">
        <v>46</v>
      </c>
      <c r="C52" s="48" t="s">
        <v>66</v>
      </c>
      <c r="D52" s="60">
        <v>20000000</v>
      </c>
      <c r="E52" s="125">
        <v>0</v>
      </c>
      <c r="F52" s="211">
        <v>0</v>
      </c>
      <c r="G52" s="199" t="s">
        <v>132</v>
      </c>
      <c r="H52" s="59" t="s">
        <v>132</v>
      </c>
      <c r="I52" s="197" t="s">
        <v>132</v>
      </c>
      <c r="J52" s="59" t="s">
        <v>132</v>
      </c>
      <c r="K52" s="59">
        <v>0</v>
      </c>
      <c r="L52" s="59">
        <v>0</v>
      </c>
      <c r="M52" s="132"/>
      <c r="N52" s="162"/>
    </row>
    <row r="53" spans="1:14" s="29" customFormat="1">
      <c r="A53" s="63"/>
      <c r="B53" s="83"/>
      <c r="C53" s="65" t="s">
        <v>45</v>
      </c>
      <c r="D53" s="66">
        <f>SUM(D52:D52)</f>
        <v>20000000</v>
      </c>
      <c r="E53" s="66">
        <f t="shared" ref="E53:F53" si="8">SUM(E50:E52)</f>
        <v>0</v>
      </c>
      <c r="F53" s="202">
        <f t="shared" si="8"/>
        <v>0</v>
      </c>
      <c r="G53" s="122" t="s">
        <v>132</v>
      </c>
      <c r="H53" s="66" t="s">
        <v>132</v>
      </c>
      <c r="I53" s="122" t="s">
        <v>132</v>
      </c>
      <c r="J53" s="66" t="s">
        <v>132</v>
      </c>
      <c r="K53" s="66">
        <f t="shared" ref="K53:L53" si="9">SUM(K50:K52)</f>
        <v>0</v>
      </c>
      <c r="L53" s="66">
        <f t="shared" si="9"/>
        <v>0</v>
      </c>
      <c r="M53" s="66"/>
      <c r="N53" s="162"/>
    </row>
    <row r="54" spans="1:14" s="29" customFormat="1">
      <c r="A54" s="84">
        <v>18</v>
      </c>
      <c r="B54" s="826" t="s">
        <v>96</v>
      </c>
      <c r="C54" s="827"/>
      <c r="D54" s="57"/>
      <c r="E54" s="119"/>
      <c r="F54" s="209"/>
      <c r="G54" s="119"/>
      <c r="H54" s="152"/>
      <c r="I54" s="119"/>
      <c r="J54" s="152"/>
      <c r="K54" s="152"/>
      <c r="L54" s="152"/>
      <c r="M54" s="131"/>
      <c r="N54" s="162"/>
    </row>
    <row r="55" spans="1:14" s="29" customFormat="1">
      <c r="A55" s="84"/>
      <c r="B55" s="830" t="s">
        <v>95</v>
      </c>
      <c r="C55" s="831"/>
      <c r="D55" s="57"/>
      <c r="E55" s="124"/>
      <c r="F55" s="209"/>
      <c r="G55" s="119"/>
      <c r="H55" s="152"/>
      <c r="I55" s="119"/>
      <c r="J55" s="152"/>
      <c r="K55" s="152"/>
      <c r="L55" s="152"/>
      <c r="M55" s="131"/>
      <c r="N55" s="162"/>
    </row>
    <row r="56" spans="1:14" s="29" customFormat="1">
      <c r="A56" s="44"/>
      <c r="B56" s="47" t="s">
        <v>26</v>
      </c>
      <c r="C56" s="48" t="s">
        <v>67</v>
      </c>
      <c r="D56" s="60">
        <v>20000000</v>
      </c>
      <c r="E56" s="125">
        <v>0</v>
      </c>
      <c r="F56" s="211">
        <v>0</v>
      </c>
      <c r="G56" s="199" t="s">
        <v>132</v>
      </c>
      <c r="H56" s="59" t="s">
        <v>132</v>
      </c>
      <c r="I56" s="119" t="str">
        <f t="shared" ref="I56" si="10">G56</f>
        <v>-</v>
      </c>
      <c r="J56" s="59" t="s">
        <v>132</v>
      </c>
      <c r="K56" s="59">
        <v>0</v>
      </c>
      <c r="L56" s="59">
        <v>0</v>
      </c>
      <c r="M56" s="132"/>
      <c r="N56" s="162"/>
    </row>
    <row r="57" spans="1:14" s="29" customFormat="1">
      <c r="A57" s="44"/>
      <c r="B57" s="47" t="s">
        <v>29</v>
      </c>
      <c r="C57" s="204" t="s">
        <v>220</v>
      </c>
      <c r="D57" s="179">
        <v>7000000</v>
      </c>
      <c r="E57" s="180">
        <v>0</v>
      </c>
      <c r="F57" s="181">
        <v>0</v>
      </c>
      <c r="G57" s="207" t="s">
        <v>132</v>
      </c>
      <c r="H57" s="148" t="s">
        <v>132</v>
      </c>
      <c r="I57" s="119" t="s">
        <v>132</v>
      </c>
      <c r="J57" s="148" t="s">
        <v>132</v>
      </c>
      <c r="K57" s="148">
        <v>0</v>
      </c>
      <c r="L57" s="148">
        <v>0</v>
      </c>
      <c r="M57" s="165"/>
      <c r="N57" s="162"/>
    </row>
    <row r="58" spans="1:14" s="29" customFormat="1">
      <c r="A58" s="44"/>
      <c r="B58" s="47"/>
      <c r="C58" s="48" t="s">
        <v>117</v>
      </c>
      <c r="D58" s="60"/>
      <c r="E58" s="125"/>
      <c r="F58" s="135"/>
      <c r="G58" s="199"/>
      <c r="H58" s="59"/>
      <c r="I58" s="197"/>
      <c r="J58" s="59"/>
      <c r="K58" s="59"/>
      <c r="L58" s="59"/>
      <c r="M58" s="132"/>
      <c r="N58" s="162"/>
    </row>
    <row r="59" spans="1:14" s="29" customFormat="1">
      <c r="A59" s="63"/>
      <c r="B59" s="71"/>
      <c r="C59" s="65" t="s">
        <v>45</v>
      </c>
      <c r="D59" s="66">
        <f>SUM(D56:D58)</f>
        <v>27000000</v>
      </c>
      <c r="E59" s="66">
        <f t="shared" ref="E59:L59" si="11">SUM(E56:E56)</f>
        <v>0</v>
      </c>
      <c r="F59" s="66">
        <f>SUM(F56:F56)</f>
        <v>0</v>
      </c>
      <c r="G59" s="122" t="s">
        <v>132</v>
      </c>
      <c r="H59" s="66" t="s">
        <v>132</v>
      </c>
      <c r="I59" s="122" t="s">
        <v>132</v>
      </c>
      <c r="J59" s="66" t="s">
        <v>132</v>
      </c>
      <c r="K59" s="66">
        <f t="shared" si="11"/>
        <v>0</v>
      </c>
      <c r="L59" s="66">
        <f t="shared" si="11"/>
        <v>0</v>
      </c>
      <c r="M59" s="66"/>
      <c r="N59" s="162"/>
    </row>
    <row r="60" spans="1:14" s="29" customFormat="1">
      <c r="A60" s="84">
        <v>17</v>
      </c>
      <c r="B60" s="826" t="s">
        <v>130</v>
      </c>
      <c r="C60" s="827"/>
      <c r="D60" s="57"/>
      <c r="E60" s="119"/>
      <c r="F60" s="131"/>
      <c r="G60" s="119"/>
      <c r="H60" s="152"/>
      <c r="I60" s="119"/>
      <c r="J60" s="152"/>
      <c r="K60" s="152"/>
      <c r="L60" s="152"/>
      <c r="M60" s="131"/>
      <c r="N60" s="162"/>
    </row>
    <row r="61" spans="1:14" s="29" customFormat="1">
      <c r="A61" s="44"/>
      <c r="B61" s="47" t="s">
        <v>53</v>
      </c>
      <c r="C61" s="48" t="s">
        <v>131</v>
      </c>
      <c r="D61" s="60">
        <v>24000000</v>
      </c>
      <c r="E61" s="125">
        <v>0</v>
      </c>
      <c r="F61" s="135">
        <v>0</v>
      </c>
      <c r="G61" s="197" t="s">
        <v>132</v>
      </c>
      <c r="H61" s="59" t="s">
        <v>132</v>
      </c>
      <c r="I61" s="197" t="s">
        <v>132</v>
      </c>
      <c r="J61" s="59" t="s">
        <v>132</v>
      </c>
      <c r="K61" s="59">
        <v>0</v>
      </c>
      <c r="L61" s="59">
        <v>0</v>
      </c>
      <c r="M61" s="132"/>
      <c r="N61" s="162"/>
    </row>
    <row r="62" spans="1:14" s="29" customFormat="1">
      <c r="A62" s="63"/>
      <c r="B62" s="64"/>
      <c r="C62" s="65" t="s">
        <v>45</v>
      </c>
      <c r="D62" s="66">
        <f>SUM(D61:D61)</f>
        <v>24000000</v>
      </c>
      <c r="E62" s="66">
        <f t="shared" ref="E62:L62" si="12">SUM(E60:E61)</f>
        <v>0</v>
      </c>
      <c r="F62" s="66">
        <f t="shared" si="12"/>
        <v>0</v>
      </c>
      <c r="G62" s="122" t="s">
        <v>132</v>
      </c>
      <c r="H62" s="66" t="s">
        <v>132</v>
      </c>
      <c r="I62" s="122" t="s">
        <v>132</v>
      </c>
      <c r="J62" s="66" t="s">
        <v>132</v>
      </c>
      <c r="K62" s="66">
        <f t="shared" si="12"/>
        <v>0</v>
      </c>
      <c r="L62" s="66">
        <f t="shared" si="12"/>
        <v>0</v>
      </c>
      <c r="M62" s="66"/>
      <c r="N62" s="162"/>
    </row>
    <row r="63" spans="1:14" s="29" customFormat="1">
      <c r="A63" s="44">
        <v>15</v>
      </c>
      <c r="B63" s="542" t="s">
        <v>68</v>
      </c>
      <c r="C63" s="86"/>
      <c r="D63" s="57"/>
      <c r="E63" s="119"/>
      <c r="F63" s="131"/>
      <c r="G63" s="119"/>
      <c r="H63" s="152"/>
      <c r="I63" s="119"/>
      <c r="J63" s="152"/>
      <c r="K63" s="152"/>
      <c r="L63" s="152"/>
      <c r="M63" s="131"/>
      <c r="N63" s="162"/>
    </row>
    <row r="64" spans="1:14" s="29" customFormat="1" ht="26.25">
      <c r="A64" s="44"/>
      <c r="B64" s="49" t="s">
        <v>80</v>
      </c>
      <c r="C64" s="50" t="s">
        <v>118</v>
      </c>
      <c r="D64" s="62">
        <v>10000000</v>
      </c>
      <c r="E64" s="125">
        <v>0</v>
      </c>
      <c r="F64" s="135">
        <v>0</v>
      </c>
      <c r="G64" s="119" t="s">
        <v>132</v>
      </c>
      <c r="H64" s="59" t="s">
        <v>132</v>
      </c>
      <c r="I64" s="119" t="s">
        <v>132</v>
      </c>
      <c r="J64" s="59" t="s">
        <v>132</v>
      </c>
      <c r="K64" s="59">
        <v>0</v>
      </c>
      <c r="L64" s="59">
        <v>0</v>
      </c>
      <c r="M64" s="132"/>
      <c r="N64" s="162"/>
    </row>
    <row r="65" spans="1:14" s="29" customFormat="1">
      <c r="A65" s="44"/>
      <c r="B65" s="49" t="s">
        <v>69</v>
      </c>
      <c r="C65" s="50" t="s">
        <v>70</v>
      </c>
      <c r="D65" s="62">
        <v>60000000</v>
      </c>
      <c r="E65" s="125">
        <v>0</v>
      </c>
      <c r="F65" s="135">
        <v>0</v>
      </c>
      <c r="G65" s="197" t="s">
        <v>132</v>
      </c>
      <c r="H65" s="59" t="s">
        <v>132</v>
      </c>
      <c r="I65" s="119" t="s">
        <v>132</v>
      </c>
      <c r="J65" s="59" t="s">
        <v>132</v>
      </c>
      <c r="K65" s="59">
        <v>0</v>
      </c>
      <c r="L65" s="59">
        <v>0</v>
      </c>
      <c r="M65" s="132"/>
      <c r="N65" s="162"/>
    </row>
    <row r="66" spans="1:14" s="29" customFormat="1">
      <c r="A66" s="63"/>
      <c r="B66" s="64"/>
      <c r="C66" s="65" t="s">
        <v>45</v>
      </c>
      <c r="D66" s="66">
        <f>SUM(D64:D65)</f>
        <v>70000000</v>
      </c>
      <c r="E66" s="66">
        <f>SUM(E62:E65)</f>
        <v>0</v>
      </c>
      <c r="F66" s="66">
        <f>SUM(F62:F65)</f>
        <v>0</v>
      </c>
      <c r="G66" s="122" t="s">
        <v>132</v>
      </c>
      <c r="H66" s="66" t="s">
        <v>132</v>
      </c>
      <c r="I66" s="122" t="s">
        <v>132</v>
      </c>
      <c r="J66" s="66" t="s">
        <v>132</v>
      </c>
      <c r="K66" s="66">
        <f>SUM(K62:K65)</f>
        <v>0</v>
      </c>
      <c r="L66" s="66">
        <f>SUM(L62:L65)</f>
        <v>0</v>
      </c>
      <c r="M66" s="66"/>
      <c r="N66" s="162"/>
    </row>
    <row r="67" spans="1:14" s="29" customFormat="1">
      <c r="A67" s="44">
        <v>16</v>
      </c>
      <c r="B67" s="81" t="s">
        <v>71</v>
      </c>
      <c r="C67" s="82"/>
      <c r="D67" s="57"/>
      <c r="E67" s="119"/>
      <c r="F67" s="131"/>
      <c r="G67" s="119"/>
      <c r="H67" s="152"/>
      <c r="I67" s="119"/>
      <c r="J67" s="152"/>
      <c r="K67" s="152"/>
      <c r="L67" s="152"/>
      <c r="M67" s="131"/>
      <c r="N67" s="162"/>
    </row>
    <row r="68" spans="1:14" s="29" customFormat="1">
      <c r="A68" s="44"/>
      <c r="B68" s="47" t="s">
        <v>72</v>
      </c>
      <c r="C68" s="48" t="s">
        <v>73</v>
      </c>
      <c r="D68" s="60">
        <v>5000000</v>
      </c>
      <c r="E68" s="120">
        <v>0</v>
      </c>
      <c r="F68" s="132">
        <v>0</v>
      </c>
      <c r="G68" s="120" t="s">
        <v>132</v>
      </c>
      <c r="H68" s="59" t="s">
        <v>132</v>
      </c>
      <c r="I68" s="120" t="s">
        <v>132</v>
      </c>
      <c r="J68" s="59" t="s">
        <v>132</v>
      </c>
      <c r="K68" s="59">
        <v>0</v>
      </c>
      <c r="L68" s="59">
        <v>0</v>
      </c>
      <c r="M68" s="132"/>
      <c r="N68" s="162"/>
    </row>
    <row r="69" spans="1:14" s="29" customFormat="1">
      <c r="A69" s="63"/>
      <c r="B69" s="83"/>
      <c r="C69" s="65" t="s">
        <v>45</v>
      </c>
      <c r="D69" s="66">
        <f>SUM(D68:D68)</f>
        <v>5000000</v>
      </c>
      <c r="E69" s="122">
        <f>SUM(E68:E68)</f>
        <v>0</v>
      </c>
      <c r="F69" s="66">
        <f>SUM(F68:F68)</f>
        <v>0</v>
      </c>
      <c r="G69" s="195" t="s">
        <v>132</v>
      </c>
      <c r="H69" s="66" t="s">
        <v>132</v>
      </c>
      <c r="I69" s="195" t="s">
        <v>132</v>
      </c>
      <c r="J69" s="155" t="s">
        <v>132</v>
      </c>
      <c r="K69" s="66">
        <v>0</v>
      </c>
      <c r="L69" s="66">
        <v>0</v>
      </c>
      <c r="M69" s="66"/>
      <c r="N69" s="162"/>
    </row>
    <row r="70" spans="1:14" s="29" customFormat="1">
      <c r="A70" s="87" t="s">
        <v>69</v>
      </c>
      <c r="B70" s="826" t="s">
        <v>89</v>
      </c>
      <c r="C70" s="827"/>
      <c r="D70" s="70"/>
      <c r="E70" s="123"/>
      <c r="F70" s="134"/>
      <c r="G70" s="123"/>
      <c r="H70" s="156"/>
      <c r="I70" s="123"/>
      <c r="J70" s="156"/>
      <c r="K70" s="156"/>
      <c r="L70" s="156"/>
      <c r="M70" s="134"/>
      <c r="N70" s="162"/>
    </row>
    <row r="71" spans="1:14" s="29" customFormat="1">
      <c r="A71" s="88"/>
      <c r="B71" s="830" t="s">
        <v>88</v>
      </c>
      <c r="C71" s="831"/>
      <c r="D71" s="57"/>
      <c r="E71" s="119"/>
      <c r="F71" s="131"/>
      <c r="G71" s="119"/>
      <c r="H71" s="152"/>
      <c r="I71" s="119"/>
      <c r="J71" s="152"/>
      <c r="K71" s="152"/>
      <c r="L71" s="152"/>
      <c r="M71" s="131"/>
      <c r="N71" s="162"/>
    </row>
    <row r="72" spans="1:14" s="29" customFormat="1">
      <c r="A72" s="89"/>
      <c r="B72" s="61" t="s">
        <v>26</v>
      </c>
      <c r="C72" s="90" t="s">
        <v>74</v>
      </c>
      <c r="D72" s="91">
        <v>15000000</v>
      </c>
      <c r="E72" s="126">
        <v>0</v>
      </c>
      <c r="F72" s="136">
        <v>0</v>
      </c>
      <c r="G72" s="126" t="s">
        <v>132</v>
      </c>
      <c r="H72" s="157" t="s">
        <v>132</v>
      </c>
      <c r="I72" s="126" t="s">
        <v>132</v>
      </c>
      <c r="J72" s="157" t="s">
        <v>132</v>
      </c>
      <c r="K72" s="157">
        <v>0</v>
      </c>
      <c r="L72" s="157">
        <v>0</v>
      </c>
      <c r="M72" s="136"/>
      <c r="N72" s="162"/>
    </row>
    <row r="73" spans="1:14" s="29" customFormat="1">
      <c r="A73" s="63"/>
      <c r="B73" s="83"/>
      <c r="C73" s="65" t="s">
        <v>45</v>
      </c>
      <c r="D73" s="66">
        <f>SUM(D72:D72)</f>
        <v>15000000</v>
      </c>
      <c r="E73" s="122">
        <f>SUM(E72:E72)</f>
        <v>0</v>
      </c>
      <c r="F73" s="66">
        <f>SUM(F72:F72)</f>
        <v>0</v>
      </c>
      <c r="G73" s="195" t="s">
        <v>132</v>
      </c>
      <c r="H73" s="66" t="s">
        <v>132</v>
      </c>
      <c r="I73" s="195" t="s">
        <v>132</v>
      </c>
      <c r="J73" s="155" t="s">
        <v>132</v>
      </c>
      <c r="K73" s="66">
        <v>0</v>
      </c>
      <c r="L73" s="66">
        <v>0</v>
      </c>
      <c r="M73" s="66"/>
      <c r="N73" s="162"/>
    </row>
    <row r="74" spans="1:14" s="29" customFormat="1">
      <c r="A74" s="88"/>
      <c r="B74" s="826" t="s">
        <v>94</v>
      </c>
      <c r="C74" s="827"/>
      <c r="D74" s="57"/>
      <c r="E74" s="119"/>
      <c r="F74" s="131"/>
      <c r="G74" s="119"/>
      <c r="H74" s="152"/>
      <c r="I74" s="119"/>
      <c r="J74" s="152"/>
      <c r="K74" s="152"/>
      <c r="L74" s="152"/>
      <c r="M74" s="131"/>
      <c r="N74" s="162"/>
    </row>
    <row r="75" spans="1:14" s="29" customFormat="1">
      <c r="A75" s="84"/>
      <c r="B75" s="92" t="s">
        <v>26</v>
      </c>
      <c r="C75" s="48" t="s">
        <v>134</v>
      </c>
      <c r="D75" s="60">
        <v>4000000</v>
      </c>
      <c r="E75" s="125">
        <v>0</v>
      </c>
      <c r="F75" s="135">
        <v>0</v>
      </c>
      <c r="G75" s="197" t="s">
        <v>132</v>
      </c>
      <c r="H75" s="59" t="s">
        <v>132</v>
      </c>
      <c r="I75" s="197" t="s">
        <v>132</v>
      </c>
      <c r="J75" s="59" t="s">
        <v>132</v>
      </c>
      <c r="K75" s="59">
        <v>0</v>
      </c>
      <c r="L75" s="59">
        <v>0</v>
      </c>
      <c r="M75" s="132"/>
      <c r="N75" s="162"/>
    </row>
    <row r="76" spans="1:14" s="29" customFormat="1">
      <c r="A76" s="93"/>
      <c r="B76" s="64"/>
      <c r="C76" s="65" t="s">
        <v>45</v>
      </c>
      <c r="D76" s="66">
        <f>SUM(D75:D75)</f>
        <v>4000000</v>
      </c>
      <c r="E76" s="66">
        <f t="shared" ref="E76:F76" si="13">SUM(E70:E75)</f>
        <v>0</v>
      </c>
      <c r="F76" s="66">
        <f t="shared" si="13"/>
        <v>0</v>
      </c>
      <c r="G76" s="122" t="s">
        <v>132</v>
      </c>
      <c r="H76" s="66" t="s">
        <v>132</v>
      </c>
      <c r="I76" s="122" t="s">
        <v>132</v>
      </c>
      <c r="J76" s="66" t="s">
        <v>132</v>
      </c>
      <c r="K76" s="66">
        <v>0</v>
      </c>
      <c r="L76" s="66">
        <v>0</v>
      </c>
      <c r="M76" s="66"/>
      <c r="N76" s="162"/>
    </row>
    <row r="77" spans="1:14" s="29" customFormat="1">
      <c r="A77" s="84">
        <v>16</v>
      </c>
      <c r="B77" s="826" t="s">
        <v>75</v>
      </c>
      <c r="C77" s="827"/>
      <c r="D77" s="57"/>
      <c r="E77" s="119"/>
      <c r="F77" s="131"/>
      <c r="G77" s="119"/>
      <c r="H77" s="156"/>
      <c r="I77" s="123"/>
      <c r="J77" s="152"/>
      <c r="K77" s="152"/>
      <c r="L77" s="152"/>
      <c r="M77" s="131"/>
      <c r="N77" s="162"/>
    </row>
    <row r="78" spans="1:14" s="29" customFormat="1">
      <c r="A78" s="84"/>
      <c r="B78" s="94" t="s">
        <v>72</v>
      </c>
      <c r="C78" s="95" t="s">
        <v>103</v>
      </c>
      <c r="D78" s="80">
        <v>10000000</v>
      </c>
      <c r="E78" s="124"/>
      <c r="F78" s="131"/>
      <c r="G78" s="218" t="s">
        <v>132</v>
      </c>
      <c r="H78" s="212" t="s">
        <v>132</v>
      </c>
      <c r="I78" s="218" t="s">
        <v>132</v>
      </c>
      <c r="J78" s="152" t="s">
        <v>132</v>
      </c>
      <c r="K78" s="152"/>
      <c r="L78" s="152"/>
      <c r="M78" s="131"/>
      <c r="N78" s="162"/>
    </row>
    <row r="79" spans="1:14" s="29" customFormat="1">
      <c r="A79" s="93"/>
      <c r="B79" s="83"/>
      <c r="C79" s="65" t="s">
        <v>45</v>
      </c>
      <c r="D79" s="66">
        <f>SUM(D78)</f>
        <v>10000000</v>
      </c>
      <c r="E79" s="66">
        <f t="shared" ref="E79:F79" si="14">SUM(E77:E78)</f>
        <v>0</v>
      </c>
      <c r="F79" s="66">
        <f t="shared" si="14"/>
        <v>0</v>
      </c>
      <c r="G79" s="122" t="s">
        <v>132</v>
      </c>
      <c r="H79" s="66" t="s">
        <v>132</v>
      </c>
      <c r="I79" s="122" t="s">
        <v>132</v>
      </c>
      <c r="J79" s="66" t="s">
        <v>132</v>
      </c>
      <c r="K79" s="66">
        <v>0</v>
      </c>
      <c r="L79" s="66">
        <v>0</v>
      </c>
      <c r="M79" s="66"/>
      <c r="N79" s="162"/>
    </row>
    <row r="80" spans="1:14" s="29" customFormat="1">
      <c r="A80" s="84">
        <v>22</v>
      </c>
      <c r="B80" s="826" t="s">
        <v>87</v>
      </c>
      <c r="C80" s="827"/>
      <c r="D80" s="57"/>
      <c r="E80" s="119"/>
      <c r="F80" s="131"/>
      <c r="G80" s="119"/>
      <c r="H80" s="152"/>
      <c r="I80" s="119"/>
      <c r="J80" s="152"/>
      <c r="K80" s="152"/>
      <c r="L80" s="152"/>
      <c r="M80" s="131"/>
      <c r="N80" s="162"/>
    </row>
    <row r="81" spans="1:14" s="29" customFormat="1" ht="25.5">
      <c r="A81" s="84"/>
      <c r="B81" s="47" t="s">
        <v>26</v>
      </c>
      <c r="C81" s="95" t="s">
        <v>76</v>
      </c>
      <c r="D81" s="60">
        <v>3500000</v>
      </c>
      <c r="E81" s="125">
        <v>0</v>
      </c>
      <c r="F81" s="135">
        <v>0</v>
      </c>
      <c r="G81" s="197" t="s">
        <v>132</v>
      </c>
      <c r="H81" s="59" t="s">
        <v>132</v>
      </c>
      <c r="I81" s="197" t="s">
        <v>132</v>
      </c>
      <c r="J81" s="59" t="s">
        <v>132</v>
      </c>
      <c r="K81" s="59">
        <v>0</v>
      </c>
      <c r="L81" s="59">
        <v>0</v>
      </c>
      <c r="M81" s="132"/>
      <c r="N81" s="162"/>
    </row>
    <row r="82" spans="1:14" s="29" customFormat="1">
      <c r="A82" s="63"/>
      <c r="B82" s="83"/>
      <c r="C82" s="65" t="s">
        <v>45</v>
      </c>
      <c r="D82" s="66">
        <f>SUM(D81:D81)</f>
        <v>3500000</v>
      </c>
      <c r="E82" s="66">
        <f t="shared" ref="E82:F82" si="15">SUM(E79:E81)</f>
        <v>0</v>
      </c>
      <c r="F82" s="66">
        <f t="shared" si="15"/>
        <v>0</v>
      </c>
      <c r="G82" s="122" t="s">
        <v>132</v>
      </c>
      <c r="H82" s="66" t="s">
        <v>132</v>
      </c>
      <c r="I82" s="122" t="s">
        <v>132</v>
      </c>
      <c r="J82" s="66" t="s">
        <v>132</v>
      </c>
      <c r="K82" s="66">
        <f t="shared" ref="K82:L82" si="16">SUM(K79:K81)</f>
        <v>0</v>
      </c>
      <c r="L82" s="66">
        <f t="shared" si="16"/>
        <v>0</v>
      </c>
      <c r="M82" s="66"/>
      <c r="N82" s="162"/>
    </row>
    <row r="83" spans="1:14" s="29" customFormat="1">
      <c r="A83" s="44">
        <v>17</v>
      </c>
      <c r="B83" s="822" t="s">
        <v>56</v>
      </c>
      <c r="C83" s="823"/>
      <c r="D83" s="57"/>
      <c r="E83" s="119"/>
      <c r="F83" s="131"/>
      <c r="G83" s="119"/>
      <c r="H83" s="152"/>
      <c r="I83" s="119"/>
      <c r="J83" s="152"/>
      <c r="K83" s="152"/>
      <c r="L83" s="152"/>
      <c r="M83" s="131"/>
      <c r="N83" s="162"/>
    </row>
    <row r="84" spans="1:14" s="29" customFormat="1">
      <c r="A84" s="44"/>
      <c r="B84" s="47">
        <v>19</v>
      </c>
      <c r="C84" s="824" t="s">
        <v>91</v>
      </c>
      <c r="D84" s="128"/>
      <c r="E84" s="120"/>
      <c r="F84" s="132"/>
      <c r="G84" s="119"/>
      <c r="H84" s="59"/>
      <c r="I84" s="119"/>
      <c r="J84" s="59"/>
      <c r="K84" s="59"/>
      <c r="L84" s="59"/>
      <c r="M84" s="132"/>
      <c r="N84" s="162"/>
    </row>
    <row r="85" spans="1:14" s="29" customFormat="1">
      <c r="A85" s="44"/>
      <c r="B85" s="163"/>
      <c r="C85" s="825"/>
      <c r="D85" s="60">
        <v>25000000</v>
      </c>
      <c r="E85" s="164">
        <v>0</v>
      </c>
      <c r="F85" s="165">
        <v>0</v>
      </c>
      <c r="G85" s="198" t="s">
        <v>132</v>
      </c>
      <c r="H85" s="148" t="s">
        <v>132</v>
      </c>
      <c r="I85" s="198" t="s">
        <v>132</v>
      </c>
      <c r="J85" s="148" t="s">
        <v>132</v>
      </c>
      <c r="K85" s="148">
        <v>0</v>
      </c>
      <c r="L85" s="148">
        <v>0</v>
      </c>
      <c r="M85" s="165"/>
      <c r="N85" s="162"/>
    </row>
    <row r="86" spans="1:14" s="29" customFormat="1">
      <c r="A86" s="63"/>
      <c r="B86" s="96"/>
      <c r="C86" s="65" t="s">
        <v>45</v>
      </c>
      <c r="D86" s="66">
        <f>SUM(D85:D85)</f>
        <v>25000000</v>
      </c>
      <c r="E86" s="122">
        <f>SUM(E84:E84)</f>
        <v>0</v>
      </c>
      <c r="F86" s="137">
        <f>SUM(F84:F84)</f>
        <v>0</v>
      </c>
      <c r="G86" s="122" t="s">
        <v>132</v>
      </c>
      <c r="H86" s="66" t="s">
        <v>132</v>
      </c>
      <c r="I86" s="122" t="s">
        <v>132</v>
      </c>
      <c r="J86" s="155" t="s">
        <v>132</v>
      </c>
      <c r="K86" s="66">
        <f>SUM(K84:K84)</f>
        <v>0</v>
      </c>
      <c r="L86" s="66">
        <f>SUM(L84:L84)</f>
        <v>0</v>
      </c>
      <c r="M86" s="137"/>
      <c r="N86" s="162"/>
    </row>
    <row r="87" spans="1:14" s="29" customFormat="1">
      <c r="A87" s="44">
        <v>19</v>
      </c>
      <c r="B87" s="826" t="s">
        <v>57</v>
      </c>
      <c r="C87" s="827"/>
      <c r="D87" s="57"/>
      <c r="E87" s="119"/>
      <c r="F87" s="131"/>
      <c r="G87" s="119"/>
      <c r="H87" s="152"/>
      <c r="I87" s="119"/>
      <c r="J87" s="152"/>
      <c r="K87" s="152"/>
      <c r="L87" s="152"/>
      <c r="M87" s="131"/>
      <c r="N87" s="162"/>
    </row>
    <row r="88" spans="1:14" s="29" customFormat="1">
      <c r="A88" s="44"/>
      <c r="B88" s="47" t="s">
        <v>26</v>
      </c>
      <c r="C88" s="48" t="s">
        <v>58</v>
      </c>
      <c r="D88" s="60">
        <v>15000000</v>
      </c>
      <c r="E88" s="120">
        <v>0</v>
      </c>
      <c r="F88" s="132">
        <v>0</v>
      </c>
      <c r="G88" s="197" t="s">
        <v>132</v>
      </c>
      <c r="H88" s="59" t="s">
        <v>132</v>
      </c>
      <c r="I88" s="197" t="s">
        <v>132</v>
      </c>
      <c r="J88" s="59" t="s">
        <v>132</v>
      </c>
      <c r="K88" s="59">
        <v>0</v>
      </c>
      <c r="L88" s="59">
        <v>0</v>
      </c>
      <c r="M88" s="132"/>
      <c r="N88" s="162"/>
    </row>
    <row r="89" spans="1:14" s="29" customFormat="1">
      <c r="A89" s="183"/>
      <c r="B89" s="64"/>
      <c r="C89" s="65" t="s">
        <v>45</v>
      </c>
      <c r="D89" s="66">
        <f>SUM(D88)</f>
        <v>15000000</v>
      </c>
      <c r="E89" s="122">
        <f>SUM(E86:E86)</f>
        <v>0</v>
      </c>
      <c r="F89" s="66">
        <f>SUM(F86:F86)</f>
        <v>0</v>
      </c>
      <c r="G89" s="122" t="s">
        <v>132</v>
      </c>
      <c r="H89" s="66" t="s">
        <v>132</v>
      </c>
      <c r="I89" s="122" t="s">
        <v>132</v>
      </c>
      <c r="J89" s="155" t="s">
        <v>132</v>
      </c>
      <c r="K89" s="66">
        <f>SUM(K86:K86)</f>
        <v>0</v>
      </c>
      <c r="L89" s="66">
        <f>SUM(L86:L86)</f>
        <v>0</v>
      </c>
      <c r="M89" s="66"/>
      <c r="N89" s="162"/>
    </row>
    <row r="90" spans="1:14" s="29" customFormat="1">
      <c r="A90" s="44">
        <v>32</v>
      </c>
      <c r="B90" s="97" t="s">
        <v>59</v>
      </c>
      <c r="C90" s="98"/>
      <c r="D90" s="57"/>
      <c r="E90" s="119"/>
      <c r="F90" s="131"/>
      <c r="G90" s="119"/>
      <c r="H90" s="152"/>
      <c r="I90" s="119"/>
      <c r="J90" s="152"/>
      <c r="K90" s="152"/>
      <c r="L90" s="152"/>
      <c r="M90" s="131"/>
      <c r="N90" s="162"/>
    </row>
    <row r="91" spans="1:14" s="29" customFormat="1">
      <c r="A91" s="44"/>
      <c r="B91" s="47" t="s">
        <v>26</v>
      </c>
      <c r="C91" s="58" t="s">
        <v>60</v>
      </c>
      <c r="D91" s="60">
        <v>15000000</v>
      </c>
      <c r="E91" s="120">
        <v>0</v>
      </c>
      <c r="F91" s="132">
        <v>0</v>
      </c>
      <c r="G91" s="197" t="s">
        <v>132</v>
      </c>
      <c r="H91" s="59" t="s">
        <v>132</v>
      </c>
      <c r="I91" s="197" t="s">
        <v>132</v>
      </c>
      <c r="J91" s="59" t="s">
        <v>133</v>
      </c>
      <c r="K91" s="59">
        <v>0</v>
      </c>
      <c r="L91" s="59">
        <v>0</v>
      </c>
      <c r="M91" s="132"/>
      <c r="N91" s="162"/>
    </row>
    <row r="92" spans="1:14" s="29" customFormat="1">
      <c r="A92" s="63"/>
      <c r="B92" s="64"/>
      <c r="C92" s="65" t="s">
        <v>45</v>
      </c>
      <c r="D92" s="66">
        <f>SUM(D91)</f>
        <v>15000000</v>
      </c>
      <c r="E92" s="122">
        <f>SUM(E91:E91)</f>
        <v>0</v>
      </c>
      <c r="F92" s="66">
        <f>SUM(F91:F91)</f>
        <v>0</v>
      </c>
      <c r="G92" s="122" t="s">
        <v>132</v>
      </c>
      <c r="H92" s="66" t="s">
        <v>132</v>
      </c>
      <c r="I92" s="122" t="s">
        <v>132</v>
      </c>
      <c r="J92" s="155" t="s">
        <v>132</v>
      </c>
      <c r="K92" s="66">
        <f>SUM(K91:K91)</f>
        <v>0</v>
      </c>
      <c r="L92" s="66">
        <f>SUM(L91:L91)</f>
        <v>0</v>
      </c>
      <c r="M92" s="66"/>
      <c r="N92" s="162"/>
    </row>
    <row r="93" spans="1:14" s="29" customFormat="1">
      <c r="A93" s="99">
        <v>15</v>
      </c>
      <c r="B93" s="100" t="s">
        <v>77</v>
      </c>
      <c r="C93" s="540"/>
      <c r="D93" s="70"/>
      <c r="E93" s="123"/>
      <c r="F93" s="134"/>
      <c r="G93" s="123"/>
      <c r="H93" s="156"/>
      <c r="I93" s="123"/>
      <c r="J93" s="144"/>
      <c r="K93" s="156"/>
      <c r="L93" s="156"/>
      <c r="M93" s="134"/>
      <c r="N93" s="162"/>
    </row>
    <row r="94" spans="1:14" s="29" customFormat="1">
      <c r="A94" s="84"/>
      <c r="B94" s="101" t="s">
        <v>78</v>
      </c>
      <c r="C94" s="48"/>
      <c r="D94" s="102"/>
      <c r="E94" s="119"/>
      <c r="F94" s="131"/>
      <c r="G94" s="119"/>
      <c r="H94" s="152"/>
      <c r="I94" s="119"/>
      <c r="J94" s="59"/>
      <c r="K94" s="152"/>
      <c r="L94" s="152"/>
      <c r="M94" s="131"/>
      <c r="N94" s="162"/>
    </row>
    <row r="95" spans="1:14" s="29" customFormat="1">
      <c r="A95" s="44"/>
      <c r="B95" s="47" t="s">
        <v>26</v>
      </c>
      <c r="C95" s="48" t="s">
        <v>79</v>
      </c>
      <c r="D95" s="60">
        <v>5000000</v>
      </c>
      <c r="E95" s="120">
        <v>0</v>
      </c>
      <c r="F95" s="132">
        <v>0</v>
      </c>
      <c r="G95" s="199" t="s">
        <v>132</v>
      </c>
      <c r="H95" s="59" t="s">
        <v>132</v>
      </c>
      <c r="I95" s="199" t="s">
        <v>132</v>
      </c>
      <c r="J95" s="59" t="s">
        <v>132</v>
      </c>
      <c r="K95" s="59">
        <v>0</v>
      </c>
      <c r="L95" s="59">
        <v>0</v>
      </c>
      <c r="M95" s="132"/>
      <c r="N95" s="162"/>
    </row>
    <row r="96" spans="1:14" s="29" customFormat="1">
      <c r="A96" s="89"/>
      <c r="B96" s="61" t="s">
        <v>80</v>
      </c>
      <c r="C96" s="103" t="s">
        <v>104</v>
      </c>
      <c r="D96" s="91">
        <v>15000000</v>
      </c>
      <c r="E96" s="127">
        <v>0</v>
      </c>
      <c r="F96" s="138">
        <v>0</v>
      </c>
      <c r="G96" s="197" t="s">
        <v>132</v>
      </c>
      <c r="H96" s="157" t="s">
        <v>132</v>
      </c>
      <c r="I96" s="197" t="s">
        <v>132</v>
      </c>
      <c r="J96" s="157" t="s">
        <v>132</v>
      </c>
      <c r="K96" s="157">
        <v>0</v>
      </c>
      <c r="L96" s="157">
        <v>0</v>
      </c>
      <c r="M96" s="136"/>
      <c r="N96" s="162"/>
    </row>
    <row r="97" spans="1:14" s="29" customFormat="1">
      <c r="A97" s="93"/>
      <c r="B97" s="83"/>
      <c r="C97" s="65" t="s">
        <v>45</v>
      </c>
      <c r="D97" s="66">
        <f>SUM(D95:D96)</f>
        <v>20000000</v>
      </c>
      <c r="E97" s="66">
        <f>SUM(E95:E96)</f>
        <v>0</v>
      </c>
      <c r="F97" s="66">
        <f t="shared" ref="F97:L97" si="17">SUM(F95:F96)</f>
        <v>0</v>
      </c>
      <c r="G97" s="122" t="s">
        <v>132</v>
      </c>
      <c r="H97" s="66" t="s">
        <v>132</v>
      </c>
      <c r="I97" s="122" t="s">
        <v>132</v>
      </c>
      <c r="J97" s="66" t="s">
        <v>132</v>
      </c>
      <c r="K97" s="66">
        <f>SUM(K95:K96)</f>
        <v>0</v>
      </c>
      <c r="L97" s="66">
        <f t="shared" si="17"/>
        <v>0</v>
      </c>
      <c r="M97" s="66"/>
      <c r="N97" s="162"/>
    </row>
    <row r="98" spans="1:14" s="29" customFormat="1">
      <c r="A98" s="84">
        <v>18</v>
      </c>
      <c r="B98" s="75" t="s">
        <v>82</v>
      </c>
      <c r="C98" s="76"/>
      <c r="D98" s="57"/>
      <c r="E98" s="119"/>
      <c r="F98" s="131"/>
      <c r="G98" s="119"/>
      <c r="H98" s="152"/>
      <c r="I98" s="119"/>
      <c r="J98" s="152"/>
      <c r="K98" s="152"/>
      <c r="L98" s="152"/>
      <c r="M98" s="131"/>
      <c r="N98" s="162"/>
    </row>
    <row r="99" spans="1:14" s="29" customFormat="1" ht="26.25">
      <c r="A99" s="84"/>
      <c r="B99" s="94" t="s">
        <v>29</v>
      </c>
      <c r="C99" s="48" t="s">
        <v>92</v>
      </c>
      <c r="D99" s="60">
        <v>7500000</v>
      </c>
      <c r="E99" s="120">
        <v>0</v>
      </c>
      <c r="F99" s="132">
        <v>0</v>
      </c>
      <c r="G99" s="199" t="s">
        <v>132</v>
      </c>
      <c r="H99" s="59" t="s">
        <v>132</v>
      </c>
      <c r="I99" s="199" t="s">
        <v>132</v>
      </c>
      <c r="J99" s="59" t="s">
        <v>132</v>
      </c>
      <c r="K99" s="59">
        <v>0</v>
      </c>
      <c r="L99" s="59">
        <v>0</v>
      </c>
      <c r="M99" s="131"/>
      <c r="N99" s="162"/>
    </row>
    <row r="100" spans="1:14" s="29" customFormat="1" ht="26.25">
      <c r="A100" s="84"/>
      <c r="B100" s="94" t="s">
        <v>83</v>
      </c>
      <c r="C100" s="48" t="s">
        <v>93</v>
      </c>
      <c r="D100" s="62">
        <v>10000000</v>
      </c>
      <c r="E100" s="121">
        <v>0</v>
      </c>
      <c r="F100" s="133">
        <v>0</v>
      </c>
      <c r="G100" s="200" t="s">
        <v>132</v>
      </c>
      <c r="H100" s="59" t="s">
        <v>132</v>
      </c>
      <c r="I100" s="200" t="str">
        <f>G100</f>
        <v>-</v>
      </c>
      <c r="J100" s="59" t="s">
        <v>132</v>
      </c>
      <c r="K100" s="153">
        <v>0</v>
      </c>
      <c r="L100" s="153">
        <v>0</v>
      </c>
      <c r="M100" s="131"/>
      <c r="N100" s="162"/>
    </row>
    <row r="101" spans="1:14" s="29" customFormat="1">
      <c r="A101" s="93"/>
      <c r="B101" s="64"/>
      <c r="C101" s="65" t="s">
        <v>45</v>
      </c>
      <c r="D101" s="66">
        <f>SUM(D99:D100)</f>
        <v>17500000</v>
      </c>
      <c r="E101" s="66">
        <f t="shared" ref="E101:I101" si="18">SUM(E99:E100)</f>
        <v>0</v>
      </c>
      <c r="F101" s="66">
        <f t="shared" si="18"/>
        <v>0</v>
      </c>
      <c r="G101" s="122" t="s">
        <v>132</v>
      </c>
      <c r="H101" s="66" t="s">
        <v>132</v>
      </c>
      <c r="I101" s="122">
        <f t="shared" si="18"/>
        <v>0</v>
      </c>
      <c r="J101" s="66" t="s">
        <v>132</v>
      </c>
      <c r="K101" s="66">
        <v>0</v>
      </c>
      <c r="L101" s="66">
        <v>0</v>
      </c>
      <c r="M101" s="66"/>
      <c r="N101" s="162"/>
    </row>
    <row r="102" spans="1:14" s="29" customFormat="1">
      <c r="A102" s="99">
        <v>26</v>
      </c>
      <c r="B102" s="104" t="s">
        <v>105</v>
      </c>
      <c r="C102" s="105"/>
      <c r="D102" s="57"/>
      <c r="E102" s="119"/>
      <c r="F102" s="131"/>
      <c r="G102" s="119"/>
      <c r="H102" s="152"/>
      <c r="I102" s="119"/>
      <c r="J102" s="152"/>
      <c r="K102" s="152"/>
      <c r="L102" s="152"/>
      <c r="M102" s="131"/>
      <c r="N102" s="162"/>
    </row>
    <row r="103" spans="1:14" s="29" customFormat="1">
      <c r="A103" s="44"/>
      <c r="B103" s="47" t="s">
        <v>84</v>
      </c>
      <c r="C103" s="48" t="s">
        <v>106</v>
      </c>
      <c r="D103" s="60">
        <v>5000000</v>
      </c>
      <c r="E103" s="120" t="s">
        <v>132</v>
      </c>
      <c r="F103" s="132">
        <v>0</v>
      </c>
      <c r="G103" s="120" t="s">
        <v>132</v>
      </c>
      <c r="H103" s="59" t="s">
        <v>132</v>
      </c>
      <c r="I103" s="120">
        <v>0</v>
      </c>
      <c r="J103" s="59" t="s">
        <v>132</v>
      </c>
      <c r="K103" s="59">
        <v>0</v>
      </c>
      <c r="L103" s="59">
        <v>0</v>
      </c>
      <c r="M103" s="132"/>
      <c r="N103" s="162"/>
    </row>
    <row r="104" spans="1:14" s="29" customFormat="1">
      <c r="A104" s="63"/>
      <c r="B104" s="64"/>
      <c r="C104" s="65" t="s">
        <v>45</v>
      </c>
      <c r="D104" s="66">
        <f>SUM(D103)</f>
        <v>5000000</v>
      </c>
      <c r="E104" s="66">
        <v>0</v>
      </c>
      <c r="F104" s="66">
        <f t="shared" ref="F104" si="19">SUM(F101:F103)</f>
        <v>0</v>
      </c>
      <c r="G104" s="122" t="s">
        <v>132</v>
      </c>
      <c r="H104" s="66" t="s">
        <v>132</v>
      </c>
      <c r="I104" s="122" t="s">
        <v>132</v>
      </c>
      <c r="J104" s="66" t="s">
        <v>132</v>
      </c>
      <c r="K104" s="66">
        <v>0</v>
      </c>
      <c r="L104" s="66">
        <v>0</v>
      </c>
      <c r="M104" s="66"/>
      <c r="N104" s="162"/>
    </row>
    <row r="105" spans="1:14" s="29" customFormat="1">
      <c r="A105" s="99">
        <v>16</v>
      </c>
      <c r="B105" s="104" t="s">
        <v>123</v>
      </c>
      <c r="C105" s="105"/>
      <c r="D105" s="57"/>
      <c r="E105" s="119"/>
      <c r="F105" s="131"/>
      <c r="G105" s="119"/>
      <c r="H105" s="152"/>
      <c r="I105" s="119"/>
      <c r="J105" s="152"/>
      <c r="K105" s="152"/>
      <c r="L105" s="152"/>
      <c r="M105" s="131"/>
      <c r="N105" s="162"/>
    </row>
    <row r="106" spans="1:14" s="29" customFormat="1">
      <c r="A106" s="84"/>
      <c r="B106" s="185" t="s">
        <v>124</v>
      </c>
      <c r="C106" s="186"/>
      <c r="D106" s="182"/>
      <c r="E106" s="124"/>
      <c r="F106" s="131"/>
      <c r="G106" s="131"/>
      <c r="H106" s="152"/>
      <c r="I106" s="131"/>
      <c r="J106" s="152"/>
      <c r="K106" s="152"/>
      <c r="L106" s="152"/>
      <c r="M106" s="152"/>
      <c r="N106" s="162"/>
    </row>
    <row r="107" spans="1:14" s="29" customFormat="1" ht="26.25">
      <c r="A107" s="44"/>
      <c r="B107" s="282" t="s">
        <v>46</v>
      </c>
      <c r="C107" s="50" t="s">
        <v>217</v>
      </c>
      <c r="D107" s="60">
        <v>27000000</v>
      </c>
      <c r="E107" s="125">
        <v>0</v>
      </c>
      <c r="F107" s="135">
        <v>0</v>
      </c>
      <c r="G107" s="124">
        <v>0</v>
      </c>
      <c r="H107" s="59" t="s">
        <v>132</v>
      </c>
      <c r="I107" s="124">
        <v>0</v>
      </c>
      <c r="J107" s="59" t="s">
        <v>132</v>
      </c>
      <c r="K107" s="59">
        <v>0</v>
      </c>
      <c r="L107" s="59">
        <v>0</v>
      </c>
      <c r="M107" s="59"/>
      <c r="N107" s="162"/>
    </row>
    <row r="108" spans="1:14" s="29" customFormat="1">
      <c r="A108" s="44"/>
      <c r="B108" s="163" t="s">
        <v>111</v>
      </c>
      <c r="C108" s="204" t="s">
        <v>81</v>
      </c>
      <c r="D108" s="205">
        <v>3000000</v>
      </c>
      <c r="E108" s="125">
        <v>0</v>
      </c>
      <c r="F108" s="135">
        <v>0</v>
      </c>
      <c r="G108" s="201" t="s">
        <v>132</v>
      </c>
      <c r="H108" s="187" t="s">
        <v>132</v>
      </c>
      <c r="I108" s="201" t="s">
        <v>132</v>
      </c>
      <c r="J108" s="187" t="s">
        <v>132</v>
      </c>
      <c r="K108" s="59">
        <v>0</v>
      </c>
      <c r="L108" s="187"/>
      <c r="M108" s="188"/>
      <c r="N108" s="162"/>
    </row>
    <row r="109" spans="1:14" s="29" customFormat="1">
      <c r="A109" s="63"/>
      <c r="B109" s="64"/>
      <c r="C109" s="65" t="s">
        <v>45</v>
      </c>
      <c r="D109" s="66">
        <f>SUM(D107:D108)</f>
        <v>30000000</v>
      </c>
      <c r="E109" s="66">
        <f>SUM(E107:E108)</f>
        <v>0</v>
      </c>
      <c r="F109" s="66">
        <f>SUM(F107:F108)</f>
        <v>0</v>
      </c>
      <c r="G109" s="122" t="s">
        <v>132</v>
      </c>
      <c r="H109" s="66" t="s">
        <v>132</v>
      </c>
      <c r="I109" s="122">
        <f>SUM(I107:I108)</f>
        <v>0</v>
      </c>
      <c r="J109" s="66" t="s">
        <v>132</v>
      </c>
      <c r="K109" s="66">
        <f>SUM(K107:K108)</f>
        <v>0</v>
      </c>
      <c r="L109" s="66">
        <f>SUM(L107:L108)</f>
        <v>0</v>
      </c>
      <c r="M109" s="66"/>
      <c r="N109" s="162"/>
    </row>
    <row r="110" spans="1:14" s="29" customFormat="1">
      <c r="A110" s="99">
        <v>17</v>
      </c>
      <c r="B110" s="104" t="s">
        <v>127</v>
      </c>
      <c r="C110" s="105"/>
      <c r="D110" s="57"/>
      <c r="E110" s="119"/>
      <c r="F110" s="131"/>
      <c r="G110" s="119"/>
      <c r="H110" s="152"/>
      <c r="I110" s="119"/>
      <c r="J110" s="152"/>
      <c r="K110" s="152"/>
      <c r="L110" s="152"/>
      <c r="M110" s="131"/>
      <c r="N110" s="162"/>
    </row>
    <row r="111" spans="1:14" s="29" customFormat="1" ht="26.25">
      <c r="A111" s="44"/>
      <c r="B111" s="47" t="s">
        <v>84</v>
      </c>
      <c r="C111" s="48" t="s">
        <v>128</v>
      </c>
      <c r="D111" s="60">
        <v>10000000</v>
      </c>
      <c r="E111" s="120">
        <v>0</v>
      </c>
      <c r="F111" s="132">
        <v>0</v>
      </c>
      <c r="G111" s="120" t="s">
        <v>132</v>
      </c>
      <c r="H111" s="59" t="s">
        <v>132</v>
      </c>
      <c r="I111" s="120">
        <v>0</v>
      </c>
      <c r="J111" s="59" t="s">
        <v>132</v>
      </c>
      <c r="K111" s="59">
        <v>0</v>
      </c>
      <c r="L111" s="59">
        <v>0</v>
      </c>
      <c r="M111" s="132"/>
      <c r="N111" s="162"/>
    </row>
    <row r="112" spans="1:14" s="29" customFormat="1">
      <c r="A112" s="63"/>
      <c r="B112" s="64"/>
      <c r="C112" s="65" t="s">
        <v>45</v>
      </c>
      <c r="D112" s="66">
        <f>SUM(D111)</f>
        <v>10000000</v>
      </c>
      <c r="E112" s="66">
        <f t="shared" ref="E112:K112" si="20">SUM(E109:E111)</f>
        <v>0</v>
      </c>
      <c r="F112" s="66">
        <f t="shared" si="20"/>
        <v>0</v>
      </c>
      <c r="G112" s="122" t="s">
        <v>132</v>
      </c>
      <c r="H112" s="66" t="s">
        <v>132</v>
      </c>
      <c r="I112" s="122" t="s">
        <v>132</v>
      </c>
      <c r="J112" s="66" t="s">
        <v>132</v>
      </c>
      <c r="K112" s="66">
        <f t="shared" si="20"/>
        <v>0</v>
      </c>
      <c r="L112" s="66">
        <v>0</v>
      </c>
      <c r="M112" s="66"/>
      <c r="N112" s="162"/>
    </row>
    <row r="113" spans="1:15 16384:16384" s="29" customFormat="1" ht="17.25" customHeight="1">
      <c r="A113" s="44">
        <v>18</v>
      </c>
      <c r="B113" s="104" t="s">
        <v>218</v>
      </c>
      <c r="C113" s="105"/>
      <c r="D113" s="70"/>
      <c r="E113" s="70"/>
      <c r="F113" s="70"/>
      <c r="G113" s="287"/>
      <c r="H113" s="70"/>
      <c r="I113" s="287"/>
      <c r="J113" s="70"/>
      <c r="K113" s="70"/>
      <c r="L113" s="70"/>
      <c r="M113" s="70"/>
      <c r="N113" s="162"/>
    </row>
    <row r="114" spans="1:15 16384:16384" s="29" customFormat="1" ht="27" customHeight="1">
      <c r="A114" s="44"/>
      <c r="B114" s="283" t="s">
        <v>83</v>
      </c>
      <c r="C114" s="284" t="s">
        <v>219</v>
      </c>
      <c r="D114" s="288">
        <v>50000000</v>
      </c>
      <c r="E114" s="285">
        <v>0</v>
      </c>
      <c r="F114" s="285">
        <v>0</v>
      </c>
      <c r="G114" s="286">
        <v>0</v>
      </c>
      <c r="H114" s="285">
        <v>0</v>
      </c>
      <c r="I114" s="286">
        <v>0</v>
      </c>
      <c r="J114" s="285">
        <v>0</v>
      </c>
      <c r="K114" s="285">
        <v>0</v>
      </c>
      <c r="L114" s="285">
        <v>0</v>
      </c>
      <c r="M114" s="285"/>
      <c r="N114" s="162"/>
    </row>
    <row r="115" spans="1:15 16384:16384" s="29" customFormat="1" ht="17.25" customHeight="1">
      <c r="A115" s="63"/>
      <c r="B115" s="64"/>
      <c r="C115" s="65" t="s">
        <v>45</v>
      </c>
      <c r="D115" s="66">
        <f>SUM(D114)</f>
        <v>50000000</v>
      </c>
      <c r="E115" s="66">
        <v>0</v>
      </c>
      <c r="F115" s="66">
        <v>0</v>
      </c>
      <c r="G115" s="122">
        <v>0</v>
      </c>
      <c r="H115" s="66">
        <v>0</v>
      </c>
      <c r="I115" s="122">
        <v>0</v>
      </c>
      <c r="J115" s="66">
        <v>0</v>
      </c>
      <c r="K115" s="66">
        <v>0</v>
      </c>
      <c r="L115" s="66">
        <v>0</v>
      </c>
      <c r="M115" s="66"/>
      <c r="N115" s="162"/>
    </row>
    <row r="116" spans="1:15 16384:16384" s="29" customFormat="1" ht="17.25" customHeight="1">
      <c r="A116" s="44">
        <v>24</v>
      </c>
      <c r="B116" s="104" t="s">
        <v>221</v>
      </c>
      <c r="C116" s="105"/>
      <c r="D116" s="70"/>
      <c r="E116" s="70"/>
      <c r="F116" s="70"/>
      <c r="G116" s="287"/>
      <c r="H116" s="70"/>
      <c r="I116" s="287"/>
      <c r="J116" s="70"/>
      <c r="K116" s="70"/>
      <c r="L116" s="70"/>
      <c r="M116" s="70"/>
      <c r="N116" s="162"/>
    </row>
    <row r="117" spans="1:15 16384:16384" s="29" customFormat="1" ht="17.25" customHeight="1">
      <c r="A117" s="44"/>
      <c r="B117" s="283" t="s">
        <v>83</v>
      </c>
      <c r="C117" s="284" t="s">
        <v>222</v>
      </c>
      <c r="D117" s="288">
        <v>50000000</v>
      </c>
      <c r="E117" s="285">
        <v>0</v>
      </c>
      <c r="F117" s="285">
        <v>0</v>
      </c>
      <c r="G117" s="286">
        <v>0</v>
      </c>
      <c r="H117" s="285">
        <v>0</v>
      </c>
      <c r="I117" s="286">
        <v>0</v>
      </c>
      <c r="J117" s="285">
        <v>0</v>
      </c>
      <c r="K117" s="285">
        <v>0</v>
      </c>
      <c r="L117" s="285">
        <v>0</v>
      </c>
      <c r="M117" s="285"/>
      <c r="N117" s="162"/>
    </row>
    <row r="118" spans="1:15 16384:16384" s="29" customFormat="1" ht="17.25" customHeight="1">
      <c r="A118" s="63"/>
      <c r="B118" s="64"/>
      <c r="C118" s="65" t="s">
        <v>45</v>
      </c>
      <c r="D118" s="66">
        <f>SUM(D117)</f>
        <v>50000000</v>
      </c>
      <c r="E118" s="66">
        <v>0</v>
      </c>
      <c r="F118" s="66">
        <v>0</v>
      </c>
      <c r="G118" s="122">
        <v>0</v>
      </c>
      <c r="H118" s="66">
        <v>0</v>
      </c>
      <c r="I118" s="122">
        <v>0</v>
      </c>
      <c r="J118" s="66">
        <v>0</v>
      </c>
      <c r="K118" s="66">
        <v>0</v>
      </c>
      <c r="L118" s="66">
        <v>0</v>
      </c>
      <c r="M118" s="66"/>
      <c r="N118" s="162"/>
    </row>
    <row r="119" spans="1:15 16384:16384" s="29" customFormat="1" ht="19.5" customHeight="1" thickBot="1">
      <c r="A119" s="166"/>
      <c r="B119" s="167" t="s">
        <v>85</v>
      </c>
      <c r="C119" s="106"/>
      <c r="D119" s="107">
        <f>D13+D10</f>
        <v>3251325000</v>
      </c>
      <c r="E119" s="107">
        <f>E13+E10</f>
        <v>0</v>
      </c>
      <c r="F119" s="107">
        <f>F13+F10</f>
        <v>0</v>
      </c>
      <c r="G119" s="107">
        <f>G10</f>
        <v>123027992</v>
      </c>
      <c r="H119" s="213">
        <f>G119/D119*100</f>
        <v>3.7839339961400356</v>
      </c>
      <c r="I119" s="107">
        <f>I13+I10</f>
        <v>123027992</v>
      </c>
      <c r="J119" s="213">
        <f>I119/D119*100</f>
        <v>3.7839339961400356</v>
      </c>
      <c r="K119" s="213">
        <f>K13</f>
        <v>0</v>
      </c>
      <c r="L119" s="213"/>
      <c r="M119" s="158"/>
      <c r="N119" s="162"/>
      <c r="XFD119" s="29">
        <f>SUM(A119:XFC119)</f>
        <v>3497380991.5678682</v>
      </c>
    </row>
    <row r="120" spans="1:15 16384:16384" s="29" customFormat="1" ht="18.75" customHeight="1" thickTop="1">
      <c r="A120" s="168"/>
      <c r="B120" s="169"/>
      <c r="C120" s="170"/>
      <c r="D120" s="171"/>
      <c r="E120" s="108"/>
      <c r="F120" s="128"/>
      <c r="G120" s="128"/>
      <c r="H120" s="128"/>
      <c r="I120" s="159" t="s">
        <v>228</v>
      </c>
      <c r="J120" s="128"/>
      <c r="K120" s="128"/>
      <c r="L120" s="128"/>
      <c r="M120" s="128"/>
      <c r="N120" s="162"/>
    </row>
    <row r="121" spans="1:15 16384:16384" s="29" customFormat="1" ht="12" customHeight="1">
      <c r="A121" s="172"/>
      <c r="B121" s="169"/>
      <c r="C121" s="173"/>
      <c r="D121" s="171"/>
      <c r="E121" s="174"/>
      <c r="F121" s="128"/>
      <c r="G121" s="128"/>
      <c r="H121" s="128"/>
      <c r="I121" s="159" t="s">
        <v>86</v>
      </c>
      <c r="J121" s="128"/>
      <c r="K121" s="128"/>
      <c r="L121" s="128"/>
      <c r="M121" s="128"/>
      <c r="N121" s="162"/>
    </row>
    <row r="122" spans="1:15 16384:16384" s="29" customFormat="1" ht="18.75" customHeight="1">
      <c r="A122" s="172"/>
      <c r="B122" s="169"/>
      <c r="C122" s="173"/>
      <c r="D122" s="171"/>
      <c r="E122" s="108"/>
      <c r="F122" s="128"/>
      <c r="G122" s="128"/>
      <c r="H122" s="128"/>
      <c r="I122" s="159"/>
      <c r="J122" s="128"/>
      <c r="K122" s="128"/>
      <c r="L122" s="128"/>
      <c r="M122" s="128"/>
      <c r="N122" s="162"/>
    </row>
    <row r="123" spans="1:15 16384:16384" s="29" customFormat="1" ht="18.75" customHeight="1">
      <c r="A123" s="175"/>
      <c r="B123" s="176"/>
      <c r="C123" s="177"/>
      <c r="D123" s="171"/>
      <c r="E123" s="108"/>
      <c r="F123" s="128"/>
      <c r="G123" s="128" t="s">
        <v>227</v>
      </c>
      <c r="H123" s="128"/>
      <c r="I123" s="160" t="s">
        <v>120</v>
      </c>
      <c r="J123" s="128"/>
      <c r="K123" s="128"/>
      <c r="L123" s="128"/>
      <c r="M123" s="128"/>
      <c r="N123" s="162"/>
    </row>
    <row r="124" spans="1:15 16384:16384" s="29" customFormat="1" ht="16.5" customHeight="1">
      <c r="A124" s="175"/>
      <c r="B124" s="176"/>
      <c r="C124" s="177"/>
      <c r="D124" s="175"/>
      <c r="E124" s="108"/>
      <c r="F124" s="128"/>
      <c r="G124" s="128"/>
      <c r="H124" s="128"/>
      <c r="I124" s="159" t="s">
        <v>108</v>
      </c>
      <c r="J124" s="128"/>
      <c r="K124" s="128"/>
      <c r="L124" s="128"/>
      <c r="M124" s="128"/>
      <c r="N124" s="162"/>
    </row>
    <row r="125" spans="1:15 16384:16384" s="29" customFormat="1" ht="17.25" customHeight="1">
      <c r="A125" s="175"/>
      <c r="B125" s="176"/>
      <c r="C125" s="177"/>
      <c r="D125" s="175"/>
      <c r="E125" s="108"/>
      <c r="F125" s="128"/>
      <c r="G125" s="128"/>
      <c r="H125" s="128"/>
      <c r="I125" s="159" t="s">
        <v>121</v>
      </c>
      <c r="J125" s="128"/>
      <c r="K125" s="128"/>
      <c r="L125" s="128"/>
      <c r="M125" s="128"/>
      <c r="N125" s="162"/>
    </row>
    <row r="126" spans="1:15 16384:16384" ht="18.75" customHeight="1">
      <c r="A126" s="11"/>
      <c r="B126" s="12"/>
      <c r="C126" s="13"/>
      <c r="D126" s="175"/>
      <c r="E126" s="108"/>
      <c r="I126" s="10"/>
      <c r="O126" s="178"/>
    </row>
    <row r="127" spans="1:15 16384:16384" ht="15.75">
      <c r="A127" s="832" t="s">
        <v>223</v>
      </c>
      <c r="B127" s="832"/>
      <c r="C127" s="832"/>
      <c r="D127" s="832"/>
      <c r="E127" s="832"/>
      <c r="F127" s="832"/>
      <c r="G127" s="832"/>
      <c r="H127" s="832"/>
      <c r="I127" s="832"/>
      <c r="J127" s="832"/>
      <c r="K127" s="832"/>
      <c r="L127" s="832"/>
      <c r="M127" s="832"/>
    </row>
    <row r="128" spans="1:15 16384:16384" ht="15.75">
      <c r="A128" s="832" t="s">
        <v>224</v>
      </c>
      <c r="B128" s="832"/>
      <c r="C128" s="832"/>
      <c r="D128" s="832"/>
      <c r="E128" s="832"/>
      <c r="F128" s="832"/>
      <c r="G128" s="832"/>
      <c r="H128" s="832"/>
      <c r="I128" s="832"/>
      <c r="J128" s="832"/>
      <c r="K128" s="832"/>
      <c r="L128" s="832"/>
      <c r="M128" s="832"/>
    </row>
    <row r="129" spans="1:13" ht="15.75">
      <c r="A129" s="541"/>
      <c r="B129" s="541"/>
      <c r="C129" s="541"/>
      <c r="D129" s="541"/>
      <c r="E129" s="541"/>
      <c r="F129" s="541"/>
      <c r="G129" s="303"/>
      <c r="H129" s="541"/>
      <c r="I129" s="541"/>
      <c r="J129" s="541"/>
      <c r="K129" s="303"/>
      <c r="L129" s="541"/>
      <c r="M129" s="541"/>
    </row>
    <row r="130" spans="1:13" ht="16.5">
      <c r="A130" s="1" t="s">
        <v>213</v>
      </c>
      <c r="B130" s="2"/>
      <c r="C130" s="3" t="s">
        <v>2</v>
      </c>
      <c r="E130" s="108"/>
      <c r="G130" s="304"/>
      <c r="H130" s="4"/>
      <c r="I130" s="5"/>
      <c r="J130" s="4"/>
      <c r="M130" s="4"/>
    </row>
    <row r="131" spans="1:13" ht="17.25" thickBot="1">
      <c r="A131" s="14" t="s">
        <v>225</v>
      </c>
      <c r="B131" s="14"/>
      <c r="C131" s="292" t="s">
        <v>234</v>
      </c>
      <c r="D131" s="129"/>
      <c r="E131" s="109"/>
      <c r="F131" s="129"/>
      <c r="G131" s="305"/>
      <c r="H131" s="14"/>
      <c r="I131" s="16"/>
      <c r="J131" s="14"/>
      <c r="K131" s="129"/>
      <c r="L131" s="15"/>
      <c r="M131" s="14"/>
    </row>
    <row r="132" spans="1:13" ht="15.75" thickTop="1">
      <c r="A132" s="833" t="s">
        <v>3</v>
      </c>
      <c r="B132" s="836" t="s">
        <v>4</v>
      </c>
      <c r="C132" s="837"/>
      <c r="D132" s="289" t="s">
        <v>5</v>
      </c>
      <c r="E132" s="110" t="s">
        <v>6</v>
      </c>
      <c r="F132" s="130"/>
      <c r="G132" s="842" t="s">
        <v>7</v>
      </c>
      <c r="H132" s="843"/>
      <c r="I132" s="843"/>
      <c r="J132" s="843"/>
      <c r="K132" s="844" t="s">
        <v>8</v>
      </c>
      <c r="L132" s="844"/>
      <c r="M132" s="833" t="s">
        <v>9</v>
      </c>
    </row>
    <row r="133" spans="1:13">
      <c r="A133" s="834"/>
      <c r="B133" s="838"/>
      <c r="C133" s="839"/>
      <c r="D133" s="290" t="s">
        <v>10</v>
      </c>
      <c r="E133" s="111" t="s">
        <v>11</v>
      </c>
      <c r="F133" s="111" t="s">
        <v>12</v>
      </c>
      <c r="G133" s="111" t="s">
        <v>13</v>
      </c>
      <c r="H133" s="845" t="s">
        <v>14</v>
      </c>
      <c r="I133" s="6" t="s">
        <v>15</v>
      </c>
      <c r="J133" s="846" t="s">
        <v>14</v>
      </c>
      <c r="K133" s="321" t="s">
        <v>16</v>
      </c>
      <c r="L133" s="7" t="s">
        <v>17</v>
      </c>
      <c r="M133" s="834"/>
    </row>
    <row r="134" spans="1:13">
      <c r="A134" s="835"/>
      <c r="B134" s="840"/>
      <c r="C134" s="841"/>
      <c r="D134" s="291" t="s">
        <v>18</v>
      </c>
      <c r="E134" s="112" t="s">
        <v>18</v>
      </c>
      <c r="F134" s="112"/>
      <c r="G134" s="306" t="s">
        <v>19</v>
      </c>
      <c r="H134" s="835"/>
      <c r="I134" s="8" t="s">
        <v>19</v>
      </c>
      <c r="J134" s="847"/>
      <c r="K134" s="322" t="s">
        <v>233</v>
      </c>
      <c r="L134" s="9" t="s">
        <v>233</v>
      </c>
      <c r="M134" s="835"/>
    </row>
    <row r="135" spans="1:13" ht="15.75" thickBot="1">
      <c r="A135" s="17">
        <v>1</v>
      </c>
      <c r="B135" s="828">
        <v>2</v>
      </c>
      <c r="C135" s="829"/>
      <c r="D135" s="113">
        <v>3</v>
      </c>
      <c r="E135" s="113">
        <v>4</v>
      </c>
      <c r="F135" s="113">
        <v>5</v>
      </c>
      <c r="G135" s="113">
        <v>6</v>
      </c>
      <c r="H135" s="18">
        <v>7</v>
      </c>
      <c r="I135" s="18">
        <v>8</v>
      </c>
      <c r="J135" s="18">
        <v>9</v>
      </c>
      <c r="K135" s="113">
        <v>10</v>
      </c>
      <c r="L135" s="18">
        <v>11</v>
      </c>
      <c r="M135" s="18">
        <v>12</v>
      </c>
    </row>
    <row r="136" spans="1:13" ht="15.75" thickBot="1">
      <c r="A136" s="35" t="s">
        <v>20</v>
      </c>
      <c r="B136" s="36" t="s">
        <v>21</v>
      </c>
      <c r="C136" s="37"/>
      <c r="D136" s="30">
        <f>D137+D138</f>
        <v>2257113000</v>
      </c>
      <c r="E136" s="30">
        <f>E137</f>
        <v>0</v>
      </c>
      <c r="F136" s="30">
        <v>0</v>
      </c>
      <c r="G136" s="30">
        <f>123027992+113993005</f>
        <v>237020997</v>
      </c>
      <c r="H136" s="214">
        <f>G136/D136*100</f>
        <v>10.501069153383105</v>
      </c>
      <c r="I136" s="30">
        <f>G136</f>
        <v>237020997</v>
      </c>
      <c r="J136" s="217">
        <f>I136/D136*100</f>
        <v>10.501069153383105</v>
      </c>
      <c r="K136" s="332">
        <f>2/12</f>
        <v>0.16666666666666666</v>
      </c>
      <c r="L136" s="215">
        <f>J136</f>
        <v>10.501069153383105</v>
      </c>
      <c r="M136" s="53"/>
    </row>
    <row r="137" spans="1:13" ht="15.75" thickBot="1">
      <c r="A137" s="38" t="s">
        <v>22</v>
      </c>
      <c r="B137" s="39" t="s">
        <v>23</v>
      </c>
      <c r="C137" s="40"/>
      <c r="D137" s="31">
        <v>1872153000</v>
      </c>
      <c r="E137" s="114">
        <v>0</v>
      </c>
      <c r="F137" s="30">
        <v>0</v>
      </c>
      <c r="G137" s="296">
        <f>123027992+113993005</f>
        <v>237020997</v>
      </c>
      <c r="H137" s="214">
        <f>G137/D137*100</f>
        <v>12.660343305274729</v>
      </c>
      <c r="I137" s="296">
        <f>G137</f>
        <v>237020997</v>
      </c>
      <c r="J137" s="217">
        <f>I137/D137*100</f>
        <v>12.660343305274729</v>
      </c>
      <c r="K137" s="335">
        <f>2/12</f>
        <v>0.16666666666666666</v>
      </c>
      <c r="L137" s="338">
        <f>J137</f>
        <v>12.660343305274729</v>
      </c>
      <c r="M137" s="146"/>
    </row>
    <row r="138" spans="1:13" ht="15.75" thickBot="1">
      <c r="A138" s="139"/>
      <c r="B138" s="140" t="s">
        <v>107</v>
      </c>
      <c r="C138" s="141"/>
      <c r="D138" s="31">
        <v>384960000</v>
      </c>
      <c r="E138" s="114">
        <v>0</v>
      </c>
      <c r="F138" s="30">
        <v>0</v>
      </c>
      <c r="G138" s="147">
        <v>0</v>
      </c>
      <c r="H138" s="53">
        <v>0</v>
      </c>
      <c r="I138" s="190">
        <v>0</v>
      </c>
      <c r="J138" s="148">
        <v>0</v>
      </c>
      <c r="K138" s="335">
        <f>2/12</f>
        <v>0.16666666666666666</v>
      </c>
      <c r="L138" s="334">
        <v>0</v>
      </c>
      <c r="M138" s="149"/>
    </row>
    <row r="139" spans="1:13" ht="15.75" thickBot="1">
      <c r="A139" s="35" t="s">
        <v>24</v>
      </c>
      <c r="B139" s="36" t="s">
        <v>25</v>
      </c>
      <c r="C139" s="37"/>
      <c r="D139" s="30">
        <f>D156+D166+D169+D173+D176+D179+D185+D188+D192+D195+D199+D202+D205+D208+D212+D215+D218+D223+D227+D230+D235+D238+D241+D244</f>
        <v>994212000</v>
      </c>
      <c r="E139" s="30">
        <v>0</v>
      </c>
      <c r="F139" s="30">
        <v>0</v>
      </c>
      <c r="G139" s="30">
        <f>G156+G166+G195+G199+G215+G218</f>
        <v>61999826</v>
      </c>
      <c r="H139" s="215">
        <f>G139/D139*100</f>
        <v>6.2360770137556178</v>
      </c>
      <c r="I139" s="296">
        <f>G139</f>
        <v>61999826</v>
      </c>
      <c r="J139" s="217">
        <f>I139/D139*100</f>
        <v>6.2360770137556178</v>
      </c>
      <c r="K139" s="336">
        <f>2/12</f>
        <v>0.16666666666666666</v>
      </c>
      <c r="L139" s="215">
        <f>J139</f>
        <v>6.2360770137556178</v>
      </c>
      <c r="M139" s="30"/>
    </row>
    <row r="140" spans="1:13">
      <c r="A140" s="41" t="s">
        <v>26</v>
      </c>
      <c r="B140" s="42" t="s">
        <v>27</v>
      </c>
      <c r="C140" s="43"/>
      <c r="D140" s="32"/>
      <c r="E140" s="115"/>
      <c r="F140" s="32"/>
      <c r="G140" s="150"/>
      <c r="H140" s="151"/>
      <c r="I140" s="191"/>
      <c r="J140" s="150"/>
      <c r="K140" s="32"/>
      <c r="L140" s="32"/>
      <c r="M140" s="32"/>
    </row>
    <row r="141" spans="1:13">
      <c r="A141" s="44"/>
      <c r="B141" s="45" t="s">
        <v>26</v>
      </c>
      <c r="C141" s="46" t="s">
        <v>28</v>
      </c>
      <c r="D141" s="33">
        <v>6000000</v>
      </c>
      <c r="E141" s="116">
        <v>0</v>
      </c>
      <c r="F141" s="131">
        <v>0</v>
      </c>
      <c r="G141" s="192">
        <v>999000</v>
      </c>
      <c r="H141" s="299">
        <f>G141/D141*100</f>
        <v>16.650000000000002</v>
      </c>
      <c r="I141" s="192">
        <f>G141</f>
        <v>999000</v>
      </c>
      <c r="J141" s="301">
        <f>H141</f>
        <v>16.650000000000002</v>
      </c>
      <c r="K141" s="331">
        <f>2/12</f>
        <v>0.16666666666666666</v>
      </c>
      <c r="L141" s="311">
        <f>J141</f>
        <v>16.650000000000002</v>
      </c>
      <c r="M141" s="131"/>
    </row>
    <row r="142" spans="1:13">
      <c r="A142" s="44"/>
      <c r="B142" s="47" t="s">
        <v>29</v>
      </c>
      <c r="C142" s="48" t="s">
        <v>30</v>
      </c>
      <c r="D142" s="34">
        <v>8000000</v>
      </c>
      <c r="E142" s="297">
        <v>0</v>
      </c>
      <c r="F142" s="132">
        <v>0</v>
      </c>
      <c r="G142" s="192">
        <v>467674</v>
      </c>
      <c r="H142" s="299">
        <f t="shared" ref="H142:H155" si="21">G142/D142*100</f>
        <v>5.8459249999999994</v>
      </c>
      <c r="I142" s="192">
        <v>467674</v>
      </c>
      <c r="J142" s="301">
        <f t="shared" ref="J142:J152" si="22">I142/D142*100</f>
        <v>5.8459249999999994</v>
      </c>
      <c r="K142" s="331">
        <f t="shared" ref="K142:K155" si="23">2/12</f>
        <v>0.16666666666666666</v>
      </c>
      <c r="L142" s="311">
        <f t="shared" ref="L142:L155" si="24">J142</f>
        <v>5.8459249999999994</v>
      </c>
      <c r="M142" s="132"/>
    </row>
    <row r="143" spans="1:13">
      <c r="A143" s="44"/>
      <c r="B143" s="47" t="s">
        <v>29</v>
      </c>
      <c r="C143" s="48" t="s">
        <v>31</v>
      </c>
      <c r="D143" s="34">
        <v>5000000</v>
      </c>
      <c r="E143" s="297">
        <v>0</v>
      </c>
      <c r="F143" s="132">
        <v>0</v>
      </c>
      <c r="G143" s="192">
        <v>307450</v>
      </c>
      <c r="H143" s="299">
        <f t="shared" si="21"/>
        <v>6.149</v>
      </c>
      <c r="I143" s="192">
        <v>307450</v>
      </c>
      <c r="J143" s="301">
        <f t="shared" si="22"/>
        <v>6.149</v>
      </c>
      <c r="K143" s="331">
        <f t="shared" si="23"/>
        <v>0.16666666666666666</v>
      </c>
      <c r="L143" s="311">
        <f t="shared" si="24"/>
        <v>6.149</v>
      </c>
      <c r="M143" s="132"/>
    </row>
    <row r="144" spans="1:13">
      <c r="A144" s="44"/>
      <c r="B144" s="47" t="s">
        <v>29</v>
      </c>
      <c r="C144" s="48" t="s">
        <v>32</v>
      </c>
      <c r="D144" s="34">
        <v>12000000</v>
      </c>
      <c r="E144" s="297">
        <v>0</v>
      </c>
      <c r="F144" s="132">
        <v>0</v>
      </c>
      <c r="G144" s="192">
        <v>1262852</v>
      </c>
      <c r="H144" s="299">
        <f t="shared" si="21"/>
        <v>10.523766666666665</v>
      </c>
      <c r="I144" s="192">
        <v>1262852</v>
      </c>
      <c r="J144" s="301">
        <f t="shared" si="22"/>
        <v>10.523766666666665</v>
      </c>
      <c r="K144" s="331">
        <f t="shared" si="23"/>
        <v>0.16666666666666666</v>
      </c>
      <c r="L144" s="311">
        <f t="shared" si="24"/>
        <v>10.523766666666665</v>
      </c>
      <c r="M144" s="132"/>
    </row>
    <row r="145" spans="1:15">
      <c r="A145" s="44"/>
      <c r="B145" s="47" t="s">
        <v>33</v>
      </c>
      <c r="C145" s="48" t="s">
        <v>34</v>
      </c>
      <c r="D145" s="34">
        <v>12105000</v>
      </c>
      <c r="E145" s="117">
        <v>0</v>
      </c>
      <c r="F145" s="132">
        <v>0</v>
      </c>
      <c r="G145" s="192">
        <v>2000000</v>
      </c>
      <c r="H145" s="299">
        <f t="shared" si="21"/>
        <v>16.522098306484921</v>
      </c>
      <c r="I145" s="192">
        <f>G145</f>
        <v>2000000</v>
      </c>
      <c r="J145" s="301">
        <f t="shared" si="22"/>
        <v>16.522098306484921</v>
      </c>
      <c r="K145" s="331">
        <f t="shared" si="23"/>
        <v>0.16666666666666666</v>
      </c>
      <c r="L145" s="311">
        <f t="shared" si="24"/>
        <v>16.522098306484921</v>
      </c>
      <c r="M145" s="132"/>
    </row>
    <row r="146" spans="1:15">
      <c r="A146" s="44"/>
      <c r="B146" s="47">
        <v>10</v>
      </c>
      <c r="C146" s="48" t="s">
        <v>35</v>
      </c>
      <c r="D146" s="34">
        <v>11895000</v>
      </c>
      <c r="E146" s="117">
        <v>0</v>
      </c>
      <c r="F146" s="132">
        <v>0</v>
      </c>
      <c r="G146" s="192">
        <v>1500000</v>
      </c>
      <c r="H146" s="299">
        <f t="shared" si="21"/>
        <v>12.610340479192939</v>
      </c>
      <c r="I146" s="192">
        <f t="shared" ref="I146:I149" si="25">G146</f>
        <v>1500000</v>
      </c>
      <c r="J146" s="301">
        <f t="shared" si="22"/>
        <v>12.610340479192939</v>
      </c>
      <c r="K146" s="331">
        <f t="shared" si="23"/>
        <v>0.16666666666666666</v>
      </c>
      <c r="L146" s="311">
        <f t="shared" si="24"/>
        <v>12.610340479192939</v>
      </c>
      <c r="M146" s="132"/>
    </row>
    <row r="147" spans="1:15">
      <c r="A147" s="44"/>
      <c r="B147" s="47">
        <v>11</v>
      </c>
      <c r="C147" s="48" t="s">
        <v>36</v>
      </c>
      <c r="D147" s="34">
        <v>6000000</v>
      </c>
      <c r="E147" s="117">
        <v>0</v>
      </c>
      <c r="F147" s="132">
        <v>0</v>
      </c>
      <c r="G147" s="192">
        <v>1000000</v>
      </c>
      <c r="H147" s="299">
        <f t="shared" si="21"/>
        <v>16.666666666666664</v>
      </c>
      <c r="I147" s="192">
        <f t="shared" si="25"/>
        <v>1000000</v>
      </c>
      <c r="J147" s="301">
        <f t="shared" si="22"/>
        <v>16.666666666666664</v>
      </c>
      <c r="K147" s="331">
        <f t="shared" si="23"/>
        <v>0.16666666666666666</v>
      </c>
      <c r="L147" s="311">
        <f t="shared" si="24"/>
        <v>16.666666666666664</v>
      </c>
      <c r="M147" s="132"/>
    </row>
    <row r="148" spans="1:15">
      <c r="A148" s="44"/>
      <c r="B148" s="47">
        <v>11</v>
      </c>
      <c r="C148" s="48" t="s">
        <v>37</v>
      </c>
      <c r="D148" s="34">
        <v>18000000</v>
      </c>
      <c r="E148" s="117">
        <v>0</v>
      </c>
      <c r="F148" s="132">
        <v>0</v>
      </c>
      <c r="G148" s="192">
        <v>2525600</v>
      </c>
      <c r="H148" s="299">
        <f t="shared" si="21"/>
        <v>14.031111111111111</v>
      </c>
      <c r="I148" s="192">
        <f t="shared" si="25"/>
        <v>2525600</v>
      </c>
      <c r="J148" s="301">
        <f t="shared" si="22"/>
        <v>14.031111111111111</v>
      </c>
      <c r="K148" s="331">
        <f t="shared" si="23"/>
        <v>0.16666666666666666</v>
      </c>
      <c r="L148" s="311">
        <f t="shared" si="24"/>
        <v>14.031111111111111</v>
      </c>
      <c r="M148" s="132"/>
    </row>
    <row r="149" spans="1:15">
      <c r="A149" s="44"/>
      <c r="B149" s="47">
        <v>12</v>
      </c>
      <c r="C149" s="48" t="s">
        <v>38</v>
      </c>
      <c r="D149" s="34">
        <v>5000000</v>
      </c>
      <c r="E149" s="117">
        <v>0</v>
      </c>
      <c r="F149" s="132">
        <v>0</v>
      </c>
      <c r="G149" s="192">
        <v>1000000</v>
      </c>
      <c r="H149" s="299">
        <f t="shared" si="21"/>
        <v>20</v>
      </c>
      <c r="I149" s="192">
        <f t="shared" si="25"/>
        <v>1000000</v>
      </c>
      <c r="J149" s="301">
        <f t="shared" si="22"/>
        <v>20</v>
      </c>
      <c r="K149" s="331">
        <f t="shared" si="23"/>
        <v>0.16666666666666666</v>
      </c>
      <c r="L149" s="311">
        <f t="shared" si="24"/>
        <v>20</v>
      </c>
      <c r="M149" s="132"/>
    </row>
    <row r="150" spans="1:15">
      <c r="A150" s="44"/>
      <c r="B150" s="47">
        <v>13</v>
      </c>
      <c r="C150" s="48" t="s">
        <v>39</v>
      </c>
      <c r="D150" s="34">
        <v>5000000</v>
      </c>
      <c r="E150" s="117">
        <v>0</v>
      </c>
      <c r="F150" s="132">
        <v>0</v>
      </c>
      <c r="G150" s="192">
        <v>1000000</v>
      </c>
      <c r="H150" s="299">
        <f t="shared" si="21"/>
        <v>20</v>
      </c>
      <c r="I150" s="192">
        <f>G150</f>
        <v>1000000</v>
      </c>
      <c r="J150" s="301">
        <f t="shared" si="22"/>
        <v>20</v>
      </c>
      <c r="K150" s="331">
        <f t="shared" si="23"/>
        <v>0.16666666666666666</v>
      </c>
      <c r="L150" s="311">
        <f t="shared" si="24"/>
        <v>20</v>
      </c>
      <c r="M150" s="132"/>
    </row>
    <row r="151" spans="1:15">
      <c r="A151" s="44"/>
      <c r="B151" s="47">
        <v>15</v>
      </c>
      <c r="C151" s="48" t="s">
        <v>40</v>
      </c>
      <c r="D151" s="34">
        <v>3000000</v>
      </c>
      <c r="E151" s="117">
        <v>0</v>
      </c>
      <c r="F151" s="132">
        <v>0</v>
      </c>
      <c r="G151" s="192">
        <v>260000</v>
      </c>
      <c r="H151" s="299">
        <f t="shared" si="21"/>
        <v>8.6666666666666679</v>
      </c>
      <c r="I151" s="192">
        <f t="shared" ref="I151:I152" si="26">G151</f>
        <v>260000</v>
      </c>
      <c r="J151" s="301">
        <f t="shared" si="22"/>
        <v>8.6666666666666679</v>
      </c>
      <c r="K151" s="331">
        <f t="shared" si="23"/>
        <v>0.16666666666666666</v>
      </c>
      <c r="L151" s="311">
        <f t="shared" si="24"/>
        <v>8.6666666666666679</v>
      </c>
      <c r="M151" s="132"/>
    </row>
    <row r="152" spans="1:15">
      <c r="A152" s="44"/>
      <c r="B152" s="47">
        <v>17</v>
      </c>
      <c r="C152" s="48" t="s">
        <v>41</v>
      </c>
      <c r="D152" s="34">
        <v>5000000</v>
      </c>
      <c r="E152" s="117">
        <v>0</v>
      </c>
      <c r="F152" s="132">
        <v>0</v>
      </c>
      <c r="G152" s="192">
        <v>1000000</v>
      </c>
      <c r="H152" s="299">
        <f t="shared" si="21"/>
        <v>20</v>
      </c>
      <c r="I152" s="192">
        <f t="shared" si="26"/>
        <v>1000000</v>
      </c>
      <c r="J152" s="301">
        <f t="shared" si="22"/>
        <v>20</v>
      </c>
      <c r="K152" s="331">
        <f t="shared" si="23"/>
        <v>0.16666666666666666</v>
      </c>
      <c r="L152" s="311">
        <f t="shared" si="24"/>
        <v>20</v>
      </c>
      <c r="M152" s="132"/>
    </row>
    <row r="153" spans="1:15">
      <c r="A153" s="44"/>
      <c r="B153" s="47">
        <v>17</v>
      </c>
      <c r="C153" s="48" t="s">
        <v>42</v>
      </c>
      <c r="D153" s="34">
        <v>7000000</v>
      </c>
      <c r="E153" s="117">
        <v>0</v>
      </c>
      <c r="F153" s="132">
        <v>0</v>
      </c>
      <c r="G153" s="192">
        <v>1200000</v>
      </c>
      <c r="H153" s="299">
        <f t="shared" si="21"/>
        <v>17.142857142857142</v>
      </c>
      <c r="I153" s="192">
        <f>G153</f>
        <v>1200000</v>
      </c>
      <c r="J153" s="301">
        <f>I153/D153*100</f>
        <v>17.142857142857142</v>
      </c>
      <c r="K153" s="331">
        <f t="shared" si="23"/>
        <v>0.16666666666666666</v>
      </c>
      <c r="L153" s="311">
        <f t="shared" si="24"/>
        <v>17.142857142857142</v>
      </c>
      <c r="M153" s="132"/>
    </row>
    <row r="154" spans="1:15">
      <c r="A154" s="44"/>
      <c r="B154" s="47">
        <v>18</v>
      </c>
      <c r="C154" s="48" t="s">
        <v>43</v>
      </c>
      <c r="D154" s="34">
        <v>15000000</v>
      </c>
      <c r="E154" s="117">
        <v>0</v>
      </c>
      <c r="F154" s="132">
        <v>0</v>
      </c>
      <c r="G154" s="192">
        <v>1450000</v>
      </c>
      <c r="H154" s="299">
        <f t="shared" si="21"/>
        <v>9.6666666666666661</v>
      </c>
      <c r="I154" s="192">
        <f>G154</f>
        <v>1450000</v>
      </c>
      <c r="J154" s="301">
        <f t="shared" ref="J154:J155" si="27">I154/D154*100</f>
        <v>9.6666666666666661</v>
      </c>
      <c r="K154" s="331">
        <f t="shared" si="23"/>
        <v>0.16666666666666666</v>
      </c>
      <c r="L154" s="311">
        <f t="shared" si="24"/>
        <v>9.6666666666666661</v>
      </c>
      <c r="M154" s="132"/>
    </row>
    <row r="155" spans="1:15" ht="15.75" thickBot="1">
      <c r="A155" s="44"/>
      <c r="B155" s="49">
        <v>19</v>
      </c>
      <c r="C155" s="50" t="s">
        <v>44</v>
      </c>
      <c r="D155" s="51">
        <v>51212000</v>
      </c>
      <c r="E155" s="298"/>
      <c r="F155" s="133">
        <v>0</v>
      </c>
      <c r="G155" s="192">
        <v>51000</v>
      </c>
      <c r="H155" s="300">
        <f t="shared" si="21"/>
        <v>9.9586034523158631E-2</v>
      </c>
      <c r="I155" s="192">
        <f t="shared" ref="I155" si="28">G155</f>
        <v>51000</v>
      </c>
      <c r="J155" s="301">
        <f t="shared" si="27"/>
        <v>9.9586034523158631E-2</v>
      </c>
      <c r="K155" s="331">
        <f t="shared" si="23"/>
        <v>0.16666666666666666</v>
      </c>
      <c r="L155" s="311">
        <f t="shared" si="24"/>
        <v>9.9586034523158631E-2</v>
      </c>
      <c r="M155" s="133"/>
    </row>
    <row r="156" spans="1:15" ht="15.75" thickBot="1">
      <c r="A156" s="35"/>
      <c r="B156" s="52"/>
      <c r="C156" s="37" t="s">
        <v>45</v>
      </c>
      <c r="D156" s="53">
        <f>SUM(D141:D155)</f>
        <v>170212000</v>
      </c>
      <c r="E156" s="53">
        <f>SUM(E141:E155)</f>
        <v>0</v>
      </c>
      <c r="F156" s="53">
        <f t="shared" ref="F156:I156" si="29">SUM(F141:F155)</f>
        <v>0</v>
      </c>
      <c r="G156" s="53">
        <f>SUM(G141:G155)</f>
        <v>16023576</v>
      </c>
      <c r="H156" s="214">
        <f>G156/D156*100</f>
        <v>9.4138932625196823</v>
      </c>
      <c r="I156" s="194">
        <f t="shared" si="29"/>
        <v>16023576</v>
      </c>
      <c r="J156" s="214">
        <f>I156/D156*100</f>
        <v>9.4138932625196823</v>
      </c>
      <c r="K156" s="332">
        <f>2/12</f>
        <v>0.16666666666666666</v>
      </c>
      <c r="L156" s="214">
        <f>J156</f>
        <v>9.4138932625196823</v>
      </c>
      <c r="M156" s="53"/>
      <c r="O156" s="161">
        <v>16023576</v>
      </c>
    </row>
    <row r="157" spans="1:15">
      <c r="A157" s="54" t="s">
        <v>29</v>
      </c>
      <c r="B157" s="55" t="s">
        <v>90</v>
      </c>
      <c r="C157" s="56"/>
      <c r="D157" s="57"/>
      <c r="E157" s="119"/>
      <c r="F157" s="131"/>
      <c r="G157" s="152"/>
      <c r="H157" s="152"/>
      <c r="I157" s="119"/>
      <c r="J157" s="152"/>
      <c r="K157" s="152"/>
      <c r="L157" s="152"/>
      <c r="M157" s="131"/>
      <c r="O157" s="161">
        <v>10001250</v>
      </c>
    </row>
    <row r="158" spans="1:15">
      <c r="A158" s="279"/>
      <c r="B158" s="47" t="s">
        <v>53</v>
      </c>
      <c r="C158" s="46" t="s">
        <v>216</v>
      </c>
      <c r="D158" s="80">
        <v>40000000</v>
      </c>
      <c r="E158" s="119"/>
      <c r="F158" s="131"/>
      <c r="G158" s="152"/>
      <c r="H158" s="152"/>
      <c r="I158" s="119"/>
      <c r="J158" s="152"/>
      <c r="K158" s="331">
        <f>2/12</f>
        <v>0.16666666666666666</v>
      </c>
      <c r="L158" s="152">
        <v>0</v>
      </c>
      <c r="M158" s="131"/>
      <c r="O158" s="161">
        <v>5000000</v>
      </c>
    </row>
    <row r="159" spans="1:15">
      <c r="A159" s="44"/>
      <c r="B159" s="47" t="s">
        <v>46</v>
      </c>
      <c r="C159" s="58" t="s">
        <v>110</v>
      </c>
      <c r="D159" s="59">
        <v>20000000</v>
      </c>
      <c r="E159" s="120">
        <v>0</v>
      </c>
      <c r="F159" s="132">
        <v>0</v>
      </c>
      <c r="G159" s="119">
        <v>0</v>
      </c>
      <c r="H159" s="59" t="s">
        <v>132</v>
      </c>
      <c r="I159" s="119">
        <f>G159</f>
        <v>0</v>
      </c>
      <c r="J159" s="59" t="s">
        <v>132</v>
      </c>
      <c r="K159" s="152">
        <v>0</v>
      </c>
      <c r="L159" s="59">
        <v>0</v>
      </c>
      <c r="M159" s="132"/>
      <c r="O159" s="161">
        <v>15000000</v>
      </c>
    </row>
    <row r="160" spans="1:15">
      <c r="A160" s="44"/>
      <c r="B160" s="47">
        <v>21</v>
      </c>
      <c r="C160" s="48" t="s">
        <v>47</v>
      </c>
      <c r="D160" s="59">
        <v>30000000</v>
      </c>
      <c r="E160" s="120">
        <v>0</v>
      </c>
      <c r="F160" s="132">
        <v>0</v>
      </c>
      <c r="G160" s="206">
        <v>0</v>
      </c>
      <c r="H160" s="59" t="s">
        <v>132</v>
      </c>
      <c r="I160" s="119">
        <f t="shared" ref="I160:I161" si="30">G160</f>
        <v>0</v>
      </c>
      <c r="J160" s="59" t="s">
        <v>132</v>
      </c>
      <c r="K160" s="59">
        <v>0</v>
      </c>
      <c r="L160" s="59">
        <v>0</v>
      </c>
      <c r="M160" s="132"/>
      <c r="O160" s="161">
        <v>15000000</v>
      </c>
    </row>
    <row r="161" spans="1:15">
      <c r="A161" s="44"/>
      <c r="B161" s="47">
        <v>22</v>
      </c>
      <c r="C161" s="48" t="s">
        <v>48</v>
      </c>
      <c r="D161" s="60">
        <v>30000000</v>
      </c>
      <c r="E161" s="120">
        <v>0</v>
      </c>
      <c r="F161" s="132">
        <v>0</v>
      </c>
      <c r="G161" s="206">
        <v>0</v>
      </c>
      <c r="H161" s="59" t="s">
        <v>132</v>
      </c>
      <c r="I161" s="119">
        <f t="shared" si="30"/>
        <v>0</v>
      </c>
      <c r="J161" s="59" t="s">
        <v>132</v>
      </c>
      <c r="K161" s="59">
        <v>0</v>
      </c>
      <c r="L161" s="59">
        <v>0</v>
      </c>
      <c r="M161" s="154"/>
      <c r="O161" s="161">
        <v>975000</v>
      </c>
    </row>
    <row r="162" spans="1:15">
      <c r="A162" s="44"/>
      <c r="B162" s="47">
        <v>24</v>
      </c>
      <c r="C162" s="48" t="s">
        <v>49</v>
      </c>
      <c r="D162" s="60">
        <v>35000000</v>
      </c>
      <c r="E162" s="120">
        <v>0</v>
      </c>
      <c r="F162" s="132">
        <v>0</v>
      </c>
      <c r="G162" s="206">
        <v>6051250</v>
      </c>
      <c r="H162" s="299">
        <f t="shared" ref="H162:H164" si="31">G162/D162*100</f>
        <v>17.289285714285715</v>
      </c>
      <c r="I162" s="192">
        <f>G162</f>
        <v>6051250</v>
      </c>
      <c r="J162" s="301">
        <f t="shared" ref="J162:J165" si="32">I162/D162*100</f>
        <v>17.289285714285715</v>
      </c>
      <c r="K162" s="331">
        <f>2/12</f>
        <v>0.16666666666666666</v>
      </c>
      <c r="L162" s="311">
        <f>J162</f>
        <v>17.289285714285715</v>
      </c>
      <c r="M162" s="132"/>
      <c r="O162" s="178">
        <f>SUM(O156:O161)</f>
        <v>61999826</v>
      </c>
    </row>
    <row r="163" spans="1:15">
      <c r="A163" s="44"/>
      <c r="B163" s="47">
        <v>26</v>
      </c>
      <c r="C163" s="48" t="s">
        <v>50</v>
      </c>
      <c r="D163" s="60">
        <v>4000000</v>
      </c>
      <c r="E163" s="120">
        <v>0</v>
      </c>
      <c r="F163" s="132">
        <v>0</v>
      </c>
      <c r="G163" s="206">
        <v>800000</v>
      </c>
      <c r="H163" s="299">
        <f t="shared" si="31"/>
        <v>20</v>
      </c>
      <c r="I163" s="192">
        <f t="shared" ref="I163:I165" si="33">G163</f>
        <v>800000</v>
      </c>
      <c r="J163" s="301">
        <f t="shared" si="32"/>
        <v>20</v>
      </c>
      <c r="K163" s="331">
        <f t="shared" ref="K163:K165" si="34">2/12</f>
        <v>0.16666666666666666</v>
      </c>
      <c r="L163" s="311">
        <f t="shared" ref="L163:L165" si="35">J163</f>
        <v>20</v>
      </c>
      <c r="M163" s="132"/>
      <c r="O163" s="178">
        <f>O162-N138</f>
        <v>61999826</v>
      </c>
    </row>
    <row r="164" spans="1:15">
      <c r="A164" s="44"/>
      <c r="B164" s="47">
        <v>28</v>
      </c>
      <c r="C164" s="48" t="s">
        <v>51</v>
      </c>
      <c r="D164" s="60">
        <v>12000000</v>
      </c>
      <c r="E164" s="120">
        <v>0</v>
      </c>
      <c r="F164" s="132">
        <v>0</v>
      </c>
      <c r="G164" s="206">
        <f>300000+300000+2250000</f>
        <v>2850000</v>
      </c>
      <c r="H164" s="299">
        <f t="shared" si="31"/>
        <v>23.75</v>
      </c>
      <c r="I164" s="192">
        <f t="shared" si="33"/>
        <v>2850000</v>
      </c>
      <c r="J164" s="301">
        <f t="shared" si="32"/>
        <v>23.75</v>
      </c>
      <c r="K164" s="331">
        <f t="shared" si="34"/>
        <v>0.16666666666666666</v>
      </c>
      <c r="L164" s="311">
        <f t="shared" si="35"/>
        <v>23.75</v>
      </c>
      <c r="M164" s="132"/>
    </row>
    <row r="165" spans="1:15" ht="15.75" thickBot="1">
      <c r="A165" s="44"/>
      <c r="B165" s="61">
        <v>29</v>
      </c>
      <c r="C165" s="50" t="s">
        <v>52</v>
      </c>
      <c r="D165" s="62">
        <v>2000000</v>
      </c>
      <c r="E165" s="121">
        <v>0</v>
      </c>
      <c r="F165" s="133">
        <v>0</v>
      </c>
      <c r="G165" s="206">
        <f>200000+100000</f>
        <v>300000</v>
      </c>
      <c r="H165" s="299">
        <f>G165/D165*100</f>
        <v>15</v>
      </c>
      <c r="I165" s="192">
        <f t="shared" si="33"/>
        <v>300000</v>
      </c>
      <c r="J165" s="301">
        <f t="shared" si="32"/>
        <v>15</v>
      </c>
      <c r="K165" s="331">
        <f t="shared" si="34"/>
        <v>0.16666666666666666</v>
      </c>
      <c r="L165" s="311">
        <f t="shared" si="35"/>
        <v>15</v>
      </c>
      <c r="M165" s="133"/>
    </row>
    <row r="166" spans="1:15">
      <c r="A166" s="63"/>
      <c r="B166" s="64"/>
      <c r="C166" s="65" t="s">
        <v>45</v>
      </c>
      <c r="D166" s="66">
        <f>SUM(D158:D165)</f>
        <v>173000000</v>
      </c>
      <c r="E166" s="122"/>
      <c r="F166" s="66"/>
      <c r="G166" s="318">
        <f>SUM(G158:G165)</f>
        <v>10001250</v>
      </c>
      <c r="H166" s="319">
        <f>G166/D166*100</f>
        <v>5.7810693641618496</v>
      </c>
      <c r="I166" s="320">
        <f>SUM(I158:I165)</f>
        <v>10001250</v>
      </c>
      <c r="J166" s="319">
        <f>I166/D166*100</f>
        <v>5.7810693641618496</v>
      </c>
      <c r="K166" s="333">
        <f>2/12</f>
        <v>0.16666666666666666</v>
      </c>
      <c r="L166" s="302">
        <f>J166</f>
        <v>5.7810693641618496</v>
      </c>
      <c r="M166" s="66"/>
    </row>
    <row r="167" spans="1:15">
      <c r="A167" s="67" t="s">
        <v>53</v>
      </c>
      <c r="B167" s="68" t="s">
        <v>54</v>
      </c>
      <c r="C167" s="69"/>
      <c r="D167" s="70"/>
      <c r="E167" s="123"/>
      <c r="F167" s="134"/>
      <c r="G167" s="164"/>
      <c r="H167" s="148"/>
      <c r="I167" s="164"/>
      <c r="J167" s="152"/>
      <c r="K167" s="152"/>
      <c r="L167" s="156"/>
      <c r="M167" s="134"/>
    </row>
    <row r="168" spans="1:15">
      <c r="A168" s="44"/>
      <c r="B168" s="47" t="s">
        <v>26</v>
      </c>
      <c r="C168" s="48" t="s">
        <v>55</v>
      </c>
      <c r="D168" s="60">
        <v>25000000</v>
      </c>
      <c r="E168" s="120">
        <v>0</v>
      </c>
      <c r="F168" s="208">
        <v>0</v>
      </c>
      <c r="G168" s="197" t="s">
        <v>132</v>
      </c>
      <c r="H168" s="59" t="s">
        <v>132</v>
      </c>
      <c r="I168" s="197" t="s">
        <v>132</v>
      </c>
      <c r="J168" s="59" t="s">
        <v>132</v>
      </c>
      <c r="K168" s="59">
        <v>0</v>
      </c>
      <c r="L168" s="59">
        <v>0</v>
      </c>
      <c r="M168" s="132"/>
    </row>
    <row r="169" spans="1:15">
      <c r="A169" s="63"/>
      <c r="B169" s="71"/>
      <c r="C169" s="65" t="s">
        <v>45</v>
      </c>
      <c r="D169" s="66">
        <f>SUM(D168:D168)</f>
        <v>25000000</v>
      </c>
      <c r="E169" s="122">
        <f>SUM(E168:E168)</f>
        <v>0</v>
      </c>
      <c r="F169" s="202">
        <f>SUM(F168:F168)</f>
        <v>0</v>
      </c>
      <c r="G169" s="122" t="s">
        <v>132</v>
      </c>
      <c r="H169" s="66" t="s">
        <v>132</v>
      </c>
      <c r="I169" s="122" t="s">
        <v>132</v>
      </c>
      <c r="J169" s="155" t="s">
        <v>132</v>
      </c>
      <c r="K169" s="66">
        <f>SUM(K168:K168)</f>
        <v>0</v>
      </c>
      <c r="L169" s="66">
        <f>SUM(L168:L168)</f>
        <v>0</v>
      </c>
      <c r="M169" s="66"/>
    </row>
    <row r="170" spans="1:15">
      <c r="A170" s="44">
        <v>15</v>
      </c>
      <c r="B170" s="72" t="s">
        <v>61</v>
      </c>
      <c r="C170" s="73"/>
      <c r="D170" s="57"/>
      <c r="E170" s="119"/>
      <c r="F170" s="209"/>
      <c r="G170" s="119" t="s">
        <v>132</v>
      </c>
      <c r="H170" s="152" t="s">
        <v>132</v>
      </c>
      <c r="I170" s="119" t="s">
        <v>132</v>
      </c>
      <c r="J170" s="152" t="s">
        <v>132</v>
      </c>
      <c r="K170" s="152"/>
      <c r="L170" s="152"/>
      <c r="M170" s="131"/>
    </row>
    <row r="171" spans="1:15">
      <c r="A171" s="44"/>
      <c r="B171" s="47">
        <v>18</v>
      </c>
      <c r="C171" s="48" t="s">
        <v>62</v>
      </c>
      <c r="D171" s="60">
        <v>5000000</v>
      </c>
      <c r="E171" s="120">
        <v>0</v>
      </c>
      <c r="F171" s="208">
        <v>0</v>
      </c>
      <c r="G171" s="120" t="s">
        <v>132</v>
      </c>
      <c r="H171" s="59" t="s">
        <v>132</v>
      </c>
      <c r="I171" s="120" t="s">
        <v>132</v>
      </c>
      <c r="J171" s="59" t="s">
        <v>132</v>
      </c>
      <c r="K171" s="59">
        <v>0</v>
      </c>
      <c r="L171" s="59">
        <v>0</v>
      </c>
      <c r="M171" s="132"/>
    </row>
    <row r="172" spans="1:15" ht="25.5">
      <c r="A172" s="44"/>
      <c r="B172" s="49">
        <v>63</v>
      </c>
      <c r="C172" s="74" t="s">
        <v>63</v>
      </c>
      <c r="D172" s="62">
        <v>5000000</v>
      </c>
      <c r="E172" s="121">
        <v>0</v>
      </c>
      <c r="F172" s="210">
        <v>0</v>
      </c>
      <c r="G172" s="121" t="s">
        <v>132</v>
      </c>
      <c r="H172" s="153" t="s">
        <v>132</v>
      </c>
      <c r="I172" s="121" t="s">
        <v>132</v>
      </c>
      <c r="J172" s="153" t="s">
        <v>132</v>
      </c>
      <c r="K172" s="59">
        <v>0</v>
      </c>
      <c r="L172" s="153">
        <v>0</v>
      </c>
      <c r="M172" s="133"/>
    </row>
    <row r="173" spans="1:15">
      <c r="A173" s="63"/>
      <c r="B173" s="64"/>
      <c r="C173" s="65" t="s">
        <v>45</v>
      </c>
      <c r="D173" s="66">
        <f>SUM(D171:D172)</f>
        <v>10000000</v>
      </c>
      <c r="E173" s="122">
        <f t="shared" ref="E173" si="36">SUM(E171:E172)</f>
        <v>0</v>
      </c>
      <c r="F173" s="202">
        <f>SUM(F171:F172)</f>
        <v>0</v>
      </c>
      <c r="G173" s="195" t="s">
        <v>132</v>
      </c>
      <c r="H173" s="66" t="s">
        <v>132</v>
      </c>
      <c r="I173" s="195" t="s">
        <v>132</v>
      </c>
      <c r="J173" s="155" t="s">
        <v>132</v>
      </c>
      <c r="K173" s="66">
        <f t="shared" ref="K173:L173" si="37">SUM(K171:K172)</f>
        <v>0</v>
      </c>
      <c r="L173" s="66">
        <f t="shared" si="37"/>
        <v>0</v>
      </c>
      <c r="M173" s="66"/>
    </row>
    <row r="174" spans="1:15">
      <c r="A174" s="44">
        <v>30</v>
      </c>
      <c r="B174" s="77" t="s">
        <v>64</v>
      </c>
      <c r="C174" s="78"/>
      <c r="D174" s="57"/>
      <c r="E174" s="119"/>
      <c r="F174" s="209"/>
      <c r="G174" s="119"/>
      <c r="H174" s="152"/>
      <c r="I174" s="119"/>
      <c r="J174" s="152"/>
      <c r="K174" s="152"/>
      <c r="L174" s="152"/>
      <c r="M174" s="131"/>
    </row>
    <row r="175" spans="1:15">
      <c r="A175" s="44"/>
      <c r="B175" s="45">
        <v>2</v>
      </c>
      <c r="C175" s="79" t="s">
        <v>102</v>
      </c>
      <c r="D175" s="80">
        <v>200000000</v>
      </c>
      <c r="E175" s="124">
        <v>0</v>
      </c>
      <c r="F175" s="209">
        <v>0</v>
      </c>
      <c r="G175" s="124">
        <v>0</v>
      </c>
      <c r="H175" s="152">
        <v>0</v>
      </c>
      <c r="I175" s="120" t="s">
        <v>132</v>
      </c>
      <c r="J175" s="152" t="s">
        <v>132</v>
      </c>
      <c r="K175" s="59">
        <v>0</v>
      </c>
      <c r="L175" s="152"/>
      <c r="M175" s="131"/>
    </row>
    <row r="176" spans="1:15">
      <c r="A176" s="63"/>
      <c r="B176" s="64"/>
      <c r="C176" s="65" t="s">
        <v>45</v>
      </c>
      <c r="D176" s="66">
        <f>SUM(D174:D175)</f>
        <v>200000000</v>
      </c>
      <c r="E176" s="66">
        <f>SUM(E174:E175)</f>
        <v>0</v>
      </c>
      <c r="F176" s="202">
        <f>SUM(F174:F175)</f>
        <v>0</v>
      </c>
      <c r="G176" s="122" t="s">
        <v>132</v>
      </c>
      <c r="H176" s="66" t="s">
        <v>132</v>
      </c>
      <c r="I176" s="122" t="s">
        <v>132</v>
      </c>
      <c r="J176" s="66" t="s">
        <v>132</v>
      </c>
      <c r="K176" s="66">
        <f>SUM(K174:K175)</f>
        <v>0</v>
      </c>
      <c r="L176" s="66">
        <f t="shared" ref="L176" si="38">SUM(L174:L175)</f>
        <v>0</v>
      </c>
      <c r="M176" s="66"/>
    </row>
    <row r="177" spans="1:13">
      <c r="A177" s="44">
        <v>21</v>
      </c>
      <c r="B177" s="81" t="s">
        <v>65</v>
      </c>
      <c r="C177" s="82"/>
      <c r="D177" s="57"/>
      <c r="E177" s="119"/>
      <c r="F177" s="209"/>
      <c r="G177" s="119"/>
      <c r="H177" s="152"/>
      <c r="I177" s="119"/>
      <c r="J177" s="152"/>
      <c r="K177" s="152"/>
      <c r="L177" s="152"/>
      <c r="M177" s="131"/>
    </row>
    <row r="178" spans="1:13">
      <c r="A178" s="44"/>
      <c r="B178" s="47" t="s">
        <v>46</v>
      </c>
      <c r="C178" s="48" t="s">
        <v>66</v>
      </c>
      <c r="D178" s="60">
        <v>20000000</v>
      </c>
      <c r="E178" s="125">
        <v>0</v>
      </c>
      <c r="F178" s="211">
        <v>0</v>
      </c>
      <c r="G178" s="199" t="s">
        <v>132</v>
      </c>
      <c r="H178" s="59" t="s">
        <v>132</v>
      </c>
      <c r="I178" s="197" t="s">
        <v>132</v>
      </c>
      <c r="J178" s="59" t="s">
        <v>132</v>
      </c>
      <c r="K178" s="59">
        <v>0</v>
      </c>
      <c r="L178" s="59">
        <v>0</v>
      </c>
      <c r="M178" s="132"/>
    </row>
    <row r="179" spans="1:13">
      <c r="A179" s="63"/>
      <c r="B179" s="83"/>
      <c r="C179" s="65" t="s">
        <v>45</v>
      </c>
      <c r="D179" s="66">
        <f>SUM(D178:D178)</f>
        <v>20000000</v>
      </c>
      <c r="E179" s="66">
        <f t="shared" ref="E179:F179" si="39">SUM(E176:E178)</f>
        <v>0</v>
      </c>
      <c r="F179" s="202">
        <f t="shared" si="39"/>
        <v>0</v>
      </c>
      <c r="G179" s="122" t="s">
        <v>132</v>
      </c>
      <c r="H179" s="66" t="s">
        <v>132</v>
      </c>
      <c r="I179" s="122" t="s">
        <v>132</v>
      </c>
      <c r="J179" s="66" t="s">
        <v>132</v>
      </c>
      <c r="K179" s="66">
        <f>SUM(K178)</f>
        <v>0</v>
      </c>
      <c r="L179" s="66">
        <f t="shared" ref="L179" si="40">SUM(L176:L178)</f>
        <v>0</v>
      </c>
      <c r="M179" s="66"/>
    </row>
    <row r="180" spans="1:13">
      <c r="A180" s="84">
        <v>18</v>
      </c>
      <c r="B180" s="826" t="s">
        <v>96</v>
      </c>
      <c r="C180" s="827"/>
      <c r="D180" s="57"/>
      <c r="E180" s="119"/>
      <c r="F180" s="209"/>
      <c r="G180" s="119"/>
      <c r="H180" s="152"/>
      <c r="I180" s="119"/>
      <c r="J180" s="152"/>
      <c r="K180" s="152"/>
      <c r="L180" s="152"/>
      <c r="M180" s="131"/>
    </row>
    <row r="181" spans="1:13">
      <c r="A181" s="84"/>
      <c r="B181" s="830" t="s">
        <v>95</v>
      </c>
      <c r="C181" s="831"/>
      <c r="D181" s="57"/>
      <c r="E181" s="124"/>
      <c r="F181" s="209"/>
      <c r="G181" s="119"/>
      <c r="H181" s="152"/>
      <c r="I181" s="119"/>
      <c r="J181" s="152"/>
      <c r="K181" s="152"/>
      <c r="L181" s="152"/>
      <c r="M181" s="131"/>
    </row>
    <row r="182" spans="1:13">
      <c r="A182" s="44"/>
      <c r="B182" s="47" t="s">
        <v>26</v>
      </c>
      <c r="C182" s="48" t="s">
        <v>67</v>
      </c>
      <c r="D182" s="60">
        <v>20000000</v>
      </c>
      <c r="E182" s="125">
        <v>0</v>
      </c>
      <c r="F182" s="211">
        <v>0</v>
      </c>
      <c r="G182" s="199" t="s">
        <v>132</v>
      </c>
      <c r="H182" s="59" t="s">
        <v>132</v>
      </c>
      <c r="I182" s="119" t="str">
        <f t="shared" ref="I182" si="41">G182</f>
        <v>-</v>
      </c>
      <c r="J182" s="59" t="s">
        <v>132</v>
      </c>
      <c r="K182" s="59">
        <v>0</v>
      </c>
      <c r="L182" s="59">
        <v>0</v>
      </c>
      <c r="M182" s="132"/>
    </row>
    <row r="183" spans="1:13">
      <c r="A183" s="44"/>
      <c r="B183" s="47" t="s">
        <v>29</v>
      </c>
      <c r="C183" s="204" t="s">
        <v>220</v>
      </c>
      <c r="D183" s="179">
        <v>7000000</v>
      </c>
      <c r="E183" s="180">
        <v>0</v>
      </c>
      <c r="F183" s="181">
        <v>0</v>
      </c>
      <c r="G183" s="207" t="s">
        <v>132</v>
      </c>
      <c r="H183" s="148" t="s">
        <v>132</v>
      </c>
      <c r="I183" s="119" t="s">
        <v>132</v>
      </c>
      <c r="J183" s="148" t="s">
        <v>132</v>
      </c>
      <c r="K183" s="59">
        <v>0</v>
      </c>
      <c r="L183" s="148">
        <v>0</v>
      </c>
      <c r="M183" s="165"/>
    </row>
    <row r="184" spans="1:13">
      <c r="A184" s="44"/>
      <c r="B184" s="47"/>
      <c r="C184" s="48" t="s">
        <v>117</v>
      </c>
      <c r="D184" s="60"/>
      <c r="E184" s="125"/>
      <c r="F184" s="135"/>
      <c r="G184" s="199"/>
      <c r="H184" s="59"/>
      <c r="I184" s="197"/>
      <c r="J184" s="59"/>
      <c r="K184" s="59"/>
      <c r="L184" s="59"/>
      <c r="M184" s="132"/>
    </row>
    <row r="185" spans="1:13">
      <c r="A185" s="63"/>
      <c r="B185" s="71"/>
      <c r="C185" s="65" t="s">
        <v>45</v>
      </c>
      <c r="D185" s="66">
        <f>SUM(D182:D184)</f>
        <v>27000000</v>
      </c>
      <c r="E185" s="66">
        <f t="shared" ref="E185" si="42">SUM(E182:E182)</f>
        <v>0</v>
      </c>
      <c r="F185" s="66">
        <f>SUM(F182:F182)</f>
        <v>0</v>
      </c>
      <c r="G185" s="122" t="s">
        <v>132</v>
      </c>
      <c r="H185" s="66" t="s">
        <v>132</v>
      </c>
      <c r="I185" s="122" t="s">
        <v>132</v>
      </c>
      <c r="J185" s="66" t="s">
        <v>132</v>
      </c>
      <c r="K185" s="66">
        <f>SUM(K182:K184)</f>
        <v>0</v>
      </c>
      <c r="L185" s="66">
        <f t="shared" ref="L185" si="43">SUM(L182:L182)</f>
        <v>0</v>
      </c>
      <c r="M185" s="66"/>
    </row>
    <row r="186" spans="1:13">
      <c r="A186" s="84">
        <v>17</v>
      </c>
      <c r="B186" s="826" t="s">
        <v>130</v>
      </c>
      <c r="C186" s="827"/>
      <c r="D186" s="57"/>
      <c r="E186" s="119"/>
      <c r="F186" s="131"/>
      <c r="G186" s="119"/>
      <c r="H186" s="152"/>
      <c r="I186" s="119"/>
      <c r="J186" s="152"/>
      <c r="K186" s="152"/>
      <c r="L186" s="152"/>
      <c r="M186" s="131"/>
    </row>
    <row r="187" spans="1:13">
      <c r="A187" s="44"/>
      <c r="B187" s="47" t="s">
        <v>53</v>
      </c>
      <c r="C187" s="48" t="s">
        <v>131</v>
      </c>
      <c r="D187" s="60">
        <v>24000000</v>
      </c>
      <c r="E187" s="125">
        <v>0</v>
      </c>
      <c r="F187" s="135">
        <v>0</v>
      </c>
      <c r="G187" s="197" t="s">
        <v>132</v>
      </c>
      <c r="H187" s="59" t="s">
        <v>132</v>
      </c>
      <c r="I187" s="197" t="s">
        <v>132</v>
      </c>
      <c r="J187" s="59" t="s">
        <v>132</v>
      </c>
      <c r="K187" s="59">
        <v>0</v>
      </c>
      <c r="L187" s="59">
        <v>0</v>
      </c>
      <c r="M187" s="132"/>
    </row>
    <row r="188" spans="1:13">
      <c r="A188" s="63"/>
      <c r="B188" s="64"/>
      <c r="C188" s="65" t="s">
        <v>45</v>
      </c>
      <c r="D188" s="66">
        <f>SUM(D187:D187)</f>
        <v>24000000</v>
      </c>
      <c r="E188" s="66">
        <f t="shared" ref="E188:F188" si="44">SUM(E186:E187)</f>
        <v>0</v>
      </c>
      <c r="F188" s="66">
        <f t="shared" si="44"/>
        <v>0</v>
      </c>
      <c r="G188" s="122" t="s">
        <v>132</v>
      </c>
      <c r="H188" s="66" t="s">
        <v>132</v>
      </c>
      <c r="I188" s="122" t="s">
        <v>132</v>
      </c>
      <c r="J188" s="66" t="s">
        <v>132</v>
      </c>
      <c r="K188" s="66">
        <f t="shared" ref="K188:L188" si="45">SUM(K186:K187)</f>
        <v>0</v>
      </c>
      <c r="L188" s="66">
        <f t="shared" si="45"/>
        <v>0</v>
      </c>
      <c r="M188" s="66"/>
    </row>
    <row r="189" spans="1:13">
      <c r="A189" s="44">
        <v>15</v>
      </c>
      <c r="B189" s="542" t="s">
        <v>68</v>
      </c>
      <c r="C189" s="86"/>
      <c r="D189" s="57"/>
      <c r="E189" s="119"/>
      <c r="F189" s="131"/>
      <c r="G189" s="119"/>
      <c r="H189" s="152"/>
      <c r="I189" s="119"/>
      <c r="J189" s="152"/>
      <c r="K189" s="152"/>
      <c r="L189" s="152"/>
      <c r="M189" s="131"/>
    </row>
    <row r="190" spans="1:13" ht="26.25">
      <c r="A190" s="44"/>
      <c r="B190" s="49" t="s">
        <v>80</v>
      </c>
      <c r="C190" s="50" t="s">
        <v>118</v>
      </c>
      <c r="D190" s="62">
        <v>10000000</v>
      </c>
      <c r="E190" s="125">
        <v>0</v>
      </c>
      <c r="F190" s="135">
        <v>0</v>
      </c>
      <c r="G190" s="119" t="s">
        <v>132</v>
      </c>
      <c r="H190" s="59" t="s">
        <v>132</v>
      </c>
      <c r="I190" s="119" t="s">
        <v>132</v>
      </c>
      <c r="J190" s="59" t="s">
        <v>132</v>
      </c>
      <c r="K190" s="59">
        <v>0</v>
      </c>
      <c r="L190" s="59">
        <v>0</v>
      </c>
      <c r="M190" s="132"/>
    </row>
    <row r="191" spans="1:13">
      <c r="A191" s="44"/>
      <c r="B191" s="49" t="s">
        <v>69</v>
      </c>
      <c r="C191" s="50" t="s">
        <v>70</v>
      </c>
      <c r="D191" s="62">
        <v>60000000</v>
      </c>
      <c r="E191" s="125">
        <v>0</v>
      </c>
      <c r="F191" s="135">
        <v>0</v>
      </c>
      <c r="G191" s="197" t="s">
        <v>132</v>
      </c>
      <c r="H191" s="59" t="s">
        <v>132</v>
      </c>
      <c r="I191" s="119" t="s">
        <v>132</v>
      </c>
      <c r="J191" s="59" t="s">
        <v>132</v>
      </c>
      <c r="K191" s="59">
        <v>0</v>
      </c>
      <c r="L191" s="59">
        <v>0</v>
      </c>
      <c r="M191" s="132"/>
    </row>
    <row r="192" spans="1:13">
      <c r="A192" s="63"/>
      <c r="B192" s="64"/>
      <c r="C192" s="65" t="s">
        <v>45</v>
      </c>
      <c r="D192" s="66">
        <f>SUM(D190:D191)</f>
        <v>70000000</v>
      </c>
      <c r="E192" s="66">
        <f>SUM(E188:E191)</f>
        <v>0</v>
      </c>
      <c r="F192" s="66">
        <f>SUM(F188:F191)</f>
        <v>0</v>
      </c>
      <c r="G192" s="122" t="s">
        <v>132</v>
      </c>
      <c r="H192" s="66" t="s">
        <v>132</v>
      </c>
      <c r="I192" s="122" t="s">
        <v>132</v>
      </c>
      <c r="J192" s="66" t="s">
        <v>132</v>
      </c>
      <c r="K192" s="66">
        <f>SUM(K190:K191)</f>
        <v>0</v>
      </c>
      <c r="L192" s="66">
        <f>SUM(L188:L191)</f>
        <v>0</v>
      </c>
      <c r="M192" s="66"/>
    </row>
    <row r="193" spans="1:15">
      <c r="A193" s="44">
        <v>16</v>
      </c>
      <c r="B193" s="81" t="s">
        <v>71</v>
      </c>
      <c r="C193" s="82"/>
      <c r="D193" s="57"/>
      <c r="E193" s="119"/>
      <c r="F193" s="131"/>
      <c r="G193" s="119"/>
      <c r="H193" s="152"/>
      <c r="I193" s="119"/>
      <c r="J193" s="152"/>
      <c r="K193" s="152"/>
      <c r="L193" s="152"/>
      <c r="M193" s="131"/>
    </row>
    <row r="194" spans="1:15">
      <c r="A194" s="44"/>
      <c r="B194" s="47" t="s">
        <v>72</v>
      </c>
      <c r="C194" s="48" t="s">
        <v>73</v>
      </c>
      <c r="D194" s="60">
        <v>5000000</v>
      </c>
      <c r="E194" s="120">
        <v>0</v>
      </c>
      <c r="F194" s="132">
        <v>0</v>
      </c>
      <c r="G194" s="120">
        <v>5000000</v>
      </c>
      <c r="H194" s="312">
        <f>G194/D194*100</f>
        <v>100</v>
      </c>
      <c r="I194" s="313">
        <f t="shared" ref="I194:I195" si="46">G194</f>
        <v>5000000</v>
      </c>
      <c r="J194" s="314">
        <f t="shared" ref="J194:J195" si="47">I194/D194*100</f>
        <v>100</v>
      </c>
      <c r="K194" s="331">
        <f>2/12</f>
        <v>0.16666666666666666</v>
      </c>
      <c r="L194" s="311">
        <f>J194</f>
        <v>100</v>
      </c>
      <c r="M194" s="132"/>
    </row>
    <row r="195" spans="1:15">
      <c r="A195" s="63"/>
      <c r="B195" s="83"/>
      <c r="C195" s="65" t="s">
        <v>45</v>
      </c>
      <c r="D195" s="66">
        <f>SUM(D194:D194)</f>
        <v>5000000</v>
      </c>
      <c r="E195" s="122">
        <f>SUM(E194:E194)</f>
        <v>0</v>
      </c>
      <c r="F195" s="66">
        <f>SUM(F194:F194)</f>
        <v>0</v>
      </c>
      <c r="G195" s="195">
        <f>G194</f>
        <v>5000000</v>
      </c>
      <c r="H195" s="310">
        <f>G195/D195*100</f>
        <v>100</v>
      </c>
      <c r="I195" s="192">
        <f t="shared" si="46"/>
        <v>5000000</v>
      </c>
      <c r="J195" s="311">
        <f t="shared" si="47"/>
        <v>100</v>
      </c>
      <c r="K195" s="333">
        <f>SUM(K194)</f>
        <v>0.16666666666666666</v>
      </c>
      <c r="L195" s="302">
        <f>SUM(L194)</f>
        <v>100</v>
      </c>
      <c r="M195" s="66"/>
    </row>
    <row r="196" spans="1:15">
      <c r="A196" s="87" t="s">
        <v>69</v>
      </c>
      <c r="B196" s="826" t="s">
        <v>89</v>
      </c>
      <c r="C196" s="827"/>
      <c r="D196" s="70"/>
      <c r="E196" s="123"/>
      <c r="F196" s="134"/>
      <c r="G196" s="123"/>
      <c r="H196" s="156"/>
      <c r="I196" s="123"/>
      <c r="J196" s="156"/>
      <c r="K196" s="156"/>
      <c r="L196" s="156"/>
      <c r="M196" s="134"/>
    </row>
    <row r="197" spans="1:15">
      <c r="A197" s="88"/>
      <c r="B197" s="830" t="s">
        <v>88</v>
      </c>
      <c r="C197" s="831"/>
      <c r="D197" s="57"/>
      <c r="E197" s="119"/>
      <c r="F197" s="131"/>
      <c r="G197" s="119"/>
      <c r="H197" s="152"/>
      <c r="I197" s="119"/>
      <c r="J197" s="152"/>
      <c r="K197" s="152"/>
      <c r="L197" s="152"/>
      <c r="M197" s="131"/>
    </row>
    <row r="198" spans="1:15">
      <c r="A198" s="89"/>
      <c r="B198" s="61" t="s">
        <v>26</v>
      </c>
      <c r="C198" s="90" t="s">
        <v>74</v>
      </c>
      <c r="D198" s="91">
        <v>15000000</v>
      </c>
      <c r="E198" s="126">
        <v>0</v>
      </c>
      <c r="F198" s="136">
        <v>0</v>
      </c>
      <c r="G198" s="126">
        <v>15000000</v>
      </c>
      <c r="H198" s="312">
        <f>G198/D198*100</f>
        <v>100</v>
      </c>
      <c r="I198" s="313">
        <f t="shared" ref="I198:I199" si="48">G198</f>
        <v>15000000</v>
      </c>
      <c r="J198" s="314">
        <f t="shared" ref="J198:J199" si="49">I198/D198*100</f>
        <v>100</v>
      </c>
      <c r="K198" s="331">
        <f>2/12</f>
        <v>0.16666666666666666</v>
      </c>
      <c r="L198" s="311">
        <f>J198</f>
        <v>100</v>
      </c>
      <c r="M198" s="136"/>
    </row>
    <row r="199" spans="1:15">
      <c r="A199" s="63"/>
      <c r="B199" s="83"/>
      <c r="C199" s="65" t="s">
        <v>45</v>
      </c>
      <c r="D199" s="66">
        <f>SUM(D198:D198)</f>
        <v>15000000</v>
      </c>
      <c r="E199" s="122">
        <f>SUM(E198:E198)</f>
        <v>0</v>
      </c>
      <c r="F199" s="66">
        <f>SUM(F198:F198)</f>
        <v>0</v>
      </c>
      <c r="G199" s="126">
        <v>15000000</v>
      </c>
      <c r="H199" s="316">
        <f>G199/D199*100</f>
        <v>100</v>
      </c>
      <c r="I199" s="315">
        <f t="shared" si="48"/>
        <v>15000000</v>
      </c>
      <c r="J199" s="317">
        <f t="shared" si="49"/>
        <v>100</v>
      </c>
      <c r="K199" s="333">
        <f>SUM(K198)</f>
        <v>0.16666666666666666</v>
      </c>
      <c r="L199" s="302">
        <f>SUM(L198)</f>
        <v>100</v>
      </c>
      <c r="M199" s="66"/>
    </row>
    <row r="200" spans="1:15">
      <c r="A200" s="88"/>
      <c r="B200" s="826" t="s">
        <v>94</v>
      </c>
      <c r="C200" s="827"/>
      <c r="D200" s="57"/>
      <c r="E200" s="119"/>
      <c r="F200" s="131"/>
      <c r="G200" s="119"/>
      <c r="H200" s="152"/>
      <c r="I200" s="119"/>
      <c r="J200" s="152"/>
      <c r="K200" s="152"/>
      <c r="L200" s="152"/>
      <c r="M200" s="131"/>
    </row>
    <row r="201" spans="1:15">
      <c r="A201" s="84"/>
      <c r="B201" s="92" t="s">
        <v>26</v>
      </c>
      <c r="C201" s="48" t="s">
        <v>134</v>
      </c>
      <c r="D201" s="60">
        <v>4000000</v>
      </c>
      <c r="E201" s="125">
        <v>0</v>
      </c>
      <c r="F201" s="135">
        <v>0</v>
      </c>
      <c r="G201" s="197" t="s">
        <v>132</v>
      </c>
      <c r="H201" s="59" t="s">
        <v>132</v>
      </c>
      <c r="I201" s="197" t="s">
        <v>132</v>
      </c>
      <c r="J201" s="59" t="s">
        <v>132</v>
      </c>
      <c r="K201" s="59">
        <v>0</v>
      </c>
      <c r="L201" s="59">
        <v>0</v>
      </c>
      <c r="M201" s="132"/>
    </row>
    <row r="202" spans="1:15">
      <c r="A202" s="93"/>
      <c r="B202" s="64"/>
      <c r="C202" s="65" t="s">
        <v>45</v>
      </c>
      <c r="D202" s="66">
        <f>SUM(D201:D201)</f>
        <v>4000000</v>
      </c>
      <c r="E202" s="66">
        <f t="shared" ref="E202:F202" si="50">SUM(E196:E201)</f>
        <v>0</v>
      </c>
      <c r="F202" s="66">
        <f t="shared" si="50"/>
        <v>0</v>
      </c>
      <c r="G202" s="122" t="s">
        <v>132</v>
      </c>
      <c r="H202" s="66" t="s">
        <v>132</v>
      </c>
      <c r="I202" s="122" t="s">
        <v>132</v>
      </c>
      <c r="J202" s="66" t="s">
        <v>132</v>
      </c>
      <c r="K202" s="66">
        <f>SUM(K201)</f>
        <v>0</v>
      </c>
      <c r="L202" s="66">
        <v>0</v>
      </c>
      <c r="M202" s="66"/>
    </row>
    <row r="203" spans="1:15">
      <c r="A203" s="84">
        <v>16</v>
      </c>
      <c r="B203" s="826" t="s">
        <v>75</v>
      </c>
      <c r="C203" s="827"/>
      <c r="D203" s="57"/>
      <c r="E203" s="119"/>
      <c r="F203" s="131"/>
      <c r="G203" s="119"/>
      <c r="H203" s="156"/>
      <c r="I203" s="123"/>
      <c r="J203" s="152"/>
      <c r="K203" s="152"/>
      <c r="L203" s="152"/>
      <c r="M203" s="131"/>
    </row>
    <row r="204" spans="1:15">
      <c r="A204" s="84"/>
      <c r="B204" s="94" t="s">
        <v>72</v>
      </c>
      <c r="C204" s="95" t="s">
        <v>103</v>
      </c>
      <c r="D204" s="80">
        <v>10000000</v>
      </c>
      <c r="E204" s="124"/>
      <c r="F204" s="131"/>
      <c r="G204" s="218" t="s">
        <v>132</v>
      </c>
      <c r="H204" s="212" t="s">
        <v>132</v>
      </c>
      <c r="I204" s="218" t="s">
        <v>132</v>
      </c>
      <c r="J204" s="152" t="s">
        <v>132</v>
      </c>
      <c r="K204" s="331">
        <f>2/12</f>
        <v>0.16666666666666666</v>
      </c>
      <c r="L204" s="152"/>
      <c r="M204" s="131"/>
    </row>
    <row r="205" spans="1:15">
      <c r="A205" s="93"/>
      <c r="B205" s="83"/>
      <c r="C205" s="65" t="s">
        <v>45</v>
      </c>
      <c r="D205" s="66">
        <f>SUM(D204)</f>
        <v>10000000</v>
      </c>
      <c r="E205" s="66">
        <f t="shared" ref="E205:F205" si="51">SUM(E203:E204)</f>
        <v>0</v>
      </c>
      <c r="F205" s="66">
        <f t="shared" si="51"/>
        <v>0</v>
      </c>
      <c r="G205" s="122" t="s">
        <v>132</v>
      </c>
      <c r="H205" s="66" t="s">
        <v>132</v>
      </c>
      <c r="I205" s="122" t="s">
        <v>132</v>
      </c>
      <c r="J205" s="66" t="s">
        <v>132</v>
      </c>
      <c r="K205" s="333">
        <f>SUM(K204)</f>
        <v>0.16666666666666666</v>
      </c>
      <c r="L205" s="66">
        <v>0</v>
      </c>
      <c r="M205" s="66"/>
    </row>
    <row r="206" spans="1:15">
      <c r="A206" s="84">
        <v>22</v>
      </c>
      <c r="B206" s="826" t="s">
        <v>87</v>
      </c>
      <c r="C206" s="827"/>
      <c r="D206" s="57"/>
      <c r="E206" s="119"/>
      <c r="F206" s="131"/>
      <c r="G206" s="119"/>
      <c r="H206" s="152"/>
      <c r="I206" s="119"/>
      <c r="J206" s="152"/>
      <c r="K206" s="152"/>
      <c r="L206" s="152"/>
      <c r="M206" s="131"/>
    </row>
    <row r="207" spans="1:15" ht="25.5">
      <c r="A207" s="84"/>
      <c r="B207" s="47" t="s">
        <v>26</v>
      </c>
      <c r="C207" s="95" t="s">
        <v>76</v>
      </c>
      <c r="D207" s="60">
        <v>3500000</v>
      </c>
      <c r="E207" s="125">
        <v>0</v>
      </c>
      <c r="F207" s="135">
        <v>0</v>
      </c>
      <c r="G207" s="197" t="s">
        <v>132</v>
      </c>
      <c r="H207" s="59" t="s">
        <v>132</v>
      </c>
      <c r="I207" s="197" t="s">
        <v>132</v>
      </c>
      <c r="J207" s="59" t="s">
        <v>132</v>
      </c>
      <c r="K207" s="331">
        <f>2/12</f>
        <v>0.16666666666666666</v>
      </c>
      <c r="L207" s="59">
        <v>0</v>
      </c>
      <c r="M207" s="132"/>
    </row>
    <row r="208" spans="1:15">
      <c r="A208" s="63"/>
      <c r="B208" s="83"/>
      <c r="C208" s="65" t="s">
        <v>45</v>
      </c>
      <c r="D208" s="66">
        <f>SUM(D207:D207)</f>
        <v>3500000</v>
      </c>
      <c r="E208" s="66">
        <f t="shared" ref="E208:F208" si="52">SUM(E205:E207)</f>
        <v>0</v>
      </c>
      <c r="F208" s="66">
        <f t="shared" si="52"/>
        <v>0</v>
      </c>
      <c r="G208" s="122" t="s">
        <v>132</v>
      </c>
      <c r="H208" s="66" t="s">
        <v>132</v>
      </c>
      <c r="I208" s="122" t="s">
        <v>132</v>
      </c>
      <c r="J208" s="66" t="s">
        <v>132</v>
      </c>
      <c r="K208" s="333">
        <f>SUM(K207)</f>
        <v>0.16666666666666666</v>
      </c>
      <c r="L208" s="66">
        <f t="shared" ref="L208" si="53">SUM(L205:L207)</f>
        <v>0</v>
      </c>
      <c r="M208" s="66"/>
      <c r="O208" s="161">
        <v>14025600</v>
      </c>
    </row>
    <row r="209" spans="1:15">
      <c r="A209" s="44">
        <v>17</v>
      </c>
      <c r="B209" s="822" t="s">
        <v>56</v>
      </c>
      <c r="C209" s="823"/>
      <c r="D209" s="57"/>
      <c r="E209" s="119"/>
      <c r="F209" s="131"/>
      <c r="G209" s="119"/>
      <c r="H209" s="152"/>
      <c r="I209" s="119"/>
      <c r="J209" s="152"/>
      <c r="K209" s="152"/>
      <c r="L209" s="152"/>
      <c r="M209" s="131"/>
      <c r="O209" s="161">
        <v>9742000</v>
      </c>
    </row>
    <row r="210" spans="1:15">
      <c r="A210" s="44"/>
      <c r="B210" s="47">
        <v>19</v>
      </c>
      <c r="C210" s="824" t="s">
        <v>91</v>
      </c>
      <c r="E210" s="120"/>
      <c r="F210" s="132"/>
      <c r="G210" s="119"/>
      <c r="H210" s="59"/>
      <c r="I210" s="119"/>
      <c r="J210" s="59"/>
      <c r="K210" s="59"/>
      <c r="L210" s="59"/>
      <c r="M210" s="132"/>
      <c r="O210" s="161">
        <v>9671250</v>
      </c>
    </row>
    <row r="211" spans="1:15">
      <c r="A211" s="44"/>
      <c r="B211" s="163"/>
      <c r="C211" s="825"/>
      <c r="D211" s="60">
        <v>25000000</v>
      </c>
      <c r="E211" s="164">
        <v>0</v>
      </c>
      <c r="F211" s="165">
        <v>0</v>
      </c>
      <c r="G211" s="198" t="s">
        <v>132</v>
      </c>
      <c r="H211" s="148" t="s">
        <v>132</v>
      </c>
      <c r="I211" s="198" t="s">
        <v>132</v>
      </c>
      <c r="J211" s="148" t="s">
        <v>132</v>
      </c>
      <c r="K211" s="331">
        <f>2/12</f>
        <v>0.16666666666666666</v>
      </c>
      <c r="L211" s="148">
        <v>0</v>
      </c>
      <c r="M211" s="165"/>
      <c r="O211" s="161">
        <v>10177976</v>
      </c>
    </row>
    <row r="212" spans="1:15">
      <c r="A212" s="63"/>
      <c r="B212" s="96"/>
      <c r="C212" s="65" t="s">
        <v>45</v>
      </c>
      <c r="D212" s="66">
        <f>SUM(D211:D211)</f>
        <v>25000000</v>
      </c>
      <c r="E212" s="122">
        <f>SUM(E210:E210)</f>
        <v>0</v>
      </c>
      <c r="F212" s="137">
        <f>SUM(F210:F210)</f>
        <v>0</v>
      </c>
      <c r="G212" s="122" t="s">
        <v>132</v>
      </c>
      <c r="H212" s="66" t="s">
        <v>132</v>
      </c>
      <c r="I212" s="122" t="s">
        <v>132</v>
      </c>
      <c r="J212" s="155" t="s">
        <v>132</v>
      </c>
      <c r="K212" s="333">
        <f>SUM(K211)</f>
        <v>0.16666666666666666</v>
      </c>
      <c r="L212" s="66">
        <f>SUM(L210:L210)</f>
        <v>0</v>
      </c>
      <c r="M212" s="137"/>
      <c r="O212" s="161">
        <v>9800000</v>
      </c>
    </row>
    <row r="213" spans="1:15">
      <c r="A213" s="44">
        <v>19</v>
      </c>
      <c r="B213" s="826" t="s">
        <v>57</v>
      </c>
      <c r="C213" s="827"/>
      <c r="D213" s="57"/>
      <c r="E213" s="119"/>
      <c r="F213" s="131"/>
      <c r="G213" s="119"/>
      <c r="H213" s="152"/>
      <c r="I213" s="119"/>
      <c r="J213" s="152"/>
      <c r="K213" s="152"/>
      <c r="L213" s="152"/>
      <c r="M213" s="131"/>
      <c r="O213" s="161">
        <v>8583000</v>
      </c>
    </row>
    <row r="214" spans="1:15">
      <c r="A214" s="44"/>
      <c r="B214" s="47" t="s">
        <v>26</v>
      </c>
      <c r="C214" s="48" t="s">
        <v>58</v>
      </c>
      <c r="D214" s="60">
        <v>15000000</v>
      </c>
      <c r="E214" s="120">
        <v>0</v>
      </c>
      <c r="F214" s="132">
        <v>0</v>
      </c>
      <c r="G214" s="197">
        <v>15000000</v>
      </c>
      <c r="H214" s="59">
        <f>G214/D214*100</f>
        <v>100</v>
      </c>
      <c r="I214" s="197">
        <v>15000000</v>
      </c>
      <c r="J214" s="59">
        <f>I214/D214*100</f>
        <v>100</v>
      </c>
      <c r="K214" s="331">
        <f>2/12</f>
        <v>0.16666666666666666</v>
      </c>
      <c r="L214" s="311">
        <f>J214</f>
        <v>100</v>
      </c>
      <c r="M214" s="132"/>
      <c r="O214" s="161">
        <f>SUM(O208:O213)</f>
        <v>61999826</v>
      </c>
    </row>
    <row r="215" spans="1:15">
      <c r="A215" s="183"/>
      <c r="B215" s="64"/>
      <c r="C215" s="65" t="s">
        <v>45</v>
      </c>
      <c r="D215" s="66">
        <f>SUM(D214)</f>
        <v>15000000</v>
      </c>
      <c r="E215" s="122">
        <f>SUM(E212:E212)</f>
        <v>0</v>
      </c>
      <c r="F215" s="66">
        <f>SUM(F212:F212)</f>
        <v>0</v>
      </c>
      <c r="G215" s="122">
        <f>G214</f>
        <v>15000000</v>
      </c>
      <c r="H215" s="66">
        <f>G215/D215*100</f>
        <v>100</v>
      </c>
      <c r="I215" s="122">
        <f>I214</f>
        <v>15000000</v>
      </c>
      <c r="J215" s="155">
        <f>I215/D215*100</f>
        <v>100</v>
      </c>
      <c r="K215" s="333">
        <f>SUM(K214)</f>
        <v>0.16666666666666666</v>
      </c>
      <c r="L215" s="302">
        <f>SUM(L214)</f>
        <v>100</v>
      </c>
      <c r="M215" s="66"/>
    </row>
    <row r="216" spans="1:15">
      <c r="A216" s="44">
        <v>32</v>
      </c>
      <c r="B216" s="97" t="s">
        <v>59</v>
      </c>
      <c r="C216" s="98"/>
      <c r="D216" s="57"/>
      <c r="E216" s="119"/>
      <c r="F216" s="131"/>
      <c r="G216" s="119"/>
      <c r="H216" s="152"/>
      <c r="I216" s="119"/>
      <c r="J216" s="152"/>
      <c r="K216" s="152"/>
      <c r="L216" s="152"/>
      <c r="M216" s="131"/>
    </row>
    <row r="217" spans="1:15">
      <c r="A217" s="44"/>
      <c r="B217" s="47" t="s">
        <v>26</v>
      </c>
      <c r="C217" s="58" t="s">
        <v>60</v>
      </c>
      <c r="D217" s="60">
        <v>15000000</v>
      </c>
      <c r="E217" s="120">
        <v>0</v>
      </c>
      <c r="F217" s="132">
        <v>0</v>
      </c>
      <c r="G217" s="197">
        <f>750000+225000</f>
        <v>975000</v>
      </c>
      <c r="H217" s="301">
        <f>G217/D217*100</f>
        <v>6.5</v>
      </c>
      <c r="I217" s="192">
        <f>G217</f>
        <v>975000</v>
      </c>
      <c r="J217" s="301">
        <f t="shared" ref="J217" si="54">I217/D217*100</f>
        <v>6.5</v>
      </c>
      <c r="K217" s="331">
        <f>2/12</f>
        <v>0.16666666666666666</v>
      </c>
      <c r="L217" s="311">
        <f>J217</f>
        <v>6.5</v>
      </c>
      <c r="M217" s="132"/>
    </row>
    <row r="218" spans="1:15">
      <c r="A218" s="63"/>
      <c r="B218" s="64"/>
      <c r="C218" s="65" t="s">
        <v>45</v>
      </c>
      <c r="D218" s="66">
        <f>SUM(D217)</f>
        <v>15000000</v>
      </c>
      <c r="E218" s="122">
        <f>SUM(E217:E217)</f>
        <v>0</v>
      </c>
      <c r="F218" s="66">
        <f>SUM(F217:F217)</f>
        <v>0</v>
      </c>
      <c r="G218" s="122">
        <f>G217</f>
        <v>975000</v>
      </c>
      <c r="H218" s="302">
        <f>G218/D218*100</f>
        <v>6.5</v>
      </c>
      <c r="I218" s="122">
        <f>I217</f>
        <v>975000</v>
      </c>
      <c r="J218" s="302">
        <f>I218/D218*100</f>
        <v>6.5</v>
      </c>
      <c r="K218" s="333">
        <f>SUM(K217:K217)</f>
        <v>0.16666666666666666</v>
      </c>
      <c r="L218" s="302">
        <f>SUM(L217:L217)</f>
        <v>6.5</v>
      </c>
      <c r="M218" s="66"/>
    </row>
    <row r="219" spans="1:15">
      <c r="A219" s="99">
        <v>15</v>
      </c>
      <c r="B219" s="100" t="s">
        <v>77</v>
      </c>
      <c r="C219" s="540"/>
      <c r="D219" s="70"/>
      <c r="E219" s="123"/>
      <c r="F219" s="134"/>
      <c r="G219" s="123"/>
      <c r="H219" s="156"/>
      <c r="I219" s="123"/>
      <c r="J219" s="144"/>
      <c r="K219" s="156"/>
      <c r="L219" s="156"/>
      <c r="M219" s="134"/>
    </row>
    <row r="220" spans="1:15">
      <c r="A220" s="84"/>
      <c r="B220" s="101" t="s">
        <v>78</v>
      </c>
      <c r="C220" s="48"/>
      <c r="D220" s="102"/>
      <c r="E220" s="119"/>
      <c r="F220" s="131"/>
      <c r="G220" s="119"/>
      <c r="H220" s="152"/>
      <c r="I220" s="119"/>
      <c r="J220" s="59"/>
      <c r="K220" s="152"/>
      <c r="L220" s="152"/>
      <c r="M220" s="131"/>
    </row>
    <row r="221" spans="1:15">
      <c r="A221" s="44"/>
      <c r="B221" s="47" t="s">
        <v>26</v>
      </c>
      <c r="C221" s="48" t="s">
        <v>79</v>
      </c>
      <c r="D221" s="60">
        <v>5000000</v>
      </c>
      <c r="E221" s="120">
        <v>0</v>
      </c>
      <c r="F221" s="132">
        <v>0</v>
      </c>
      <c r="G221" s="199" t="s">
        <v>132</v>
      </c>
      <c r="H221" s="59" t="s">
        <v>132</v>
      </c>
      <c r="I221" s="199" t="s">
        <v>132</v>
      </c>
      <c r="J221" s="59" t="s">
        <v>132</v>
      </c>
      <c r="K221" s="59">
        <v>0</v>
      </c>
      <c r="L221" s="59">
        <v>0</v>
      </c>
      <c r="M221" s="132"/>
    </row>
    <row r="222" spans="1:15">
      <c r="A222" s="89"/>
      <c r="B222" s="61" t="s">
        <v>80</v>
      </c>
      <c r="C222" s="103" t="s">
        <v>104</v>
      </c>
      <c r="D222" s="91">
        <v>15000000</v>
      </c>
      <c r="E222" s="127">
        <v>0</v>
      </c>
      <c r="F222" s="138">
        <v>0</v>
      </c>
      <c r="G222" s="197" t="s">
        <v>132</v>
      </c>
      <c r="H222" s="157" t="s">
        <v>132</v>
      </c>
      <c r="I222" s="197" t="s">
        <v>132</v>
      </c>
      <c r="J222" s="157" t="s">
        <v>132</v>
      </c>
      <c r="K222" s="59">
        <v>0</v>
      </c>
      <c r="L222" s="157">
        <v>0</v>
      </c>
      <c r="M222" s="136"/>
    </row>
    <row r="223" spans="1:15">
      <c r="A223" s="93"/>
      <c r="B223" s="83"/>
      <c r="C223" s="65" t="s">
        <v>45</v>
      </c>
      <c r="D223" s="66">
        <f>SUM(D221:D222)</f>
        <v>20000000</v>
      </c>
      <c r="E223" s="66">
        <f>SUM(E221:E222)</f>
        <v>0</v>
      </c>
      <c r="F223" s="66">
        <f t="shared" ref="F223" si="55">SUM(F221:F222)</f>
        <v>0</v>
      </c>
      <c r="G223" s="122" t="s">
        <v>132</v>
      </c>
      <c r="H223" s="66" t="s">
        <v>132</v>
      </c>
      <c r="I223" s="122" t="s">
        <v>132</v>
      </c>
      <c r="J223" s="66" t="s">
        <v>132</v>
      </c>
      <c r="K223" s="66">
        <f>SUM(K221:K222)</f>
        <v>0</v>
      </c>
      <c r="L223" s="66">
        <f t="shared" ref="L223" si="56">SUM(L221:L222)</f>
        <v>0</v>
      </c>
      <c r="M223" s="66"/>
    </row>
    <row r="224" spans="1:15">
      <c r="A224" s="84">
        <v>18</v>
      </c>
      <c r="B224" s="75" t="s">
        <v>82</v>
      </c>
      <c r="C224" s="76"/>
      <c r="D224" s="57"/>
      <c r="E224" s="119"/>
      <c r="F224" s="131"/>
      <c r="G224" s="119"/>
      <c r="H224" s="152"/>
      <c r="I224" s="119"/>
      <c r="J224" s="152"/>
      <c r="K224" s="152"/>
      <c r="L224" s="152"/>
      <c r="M224" s="131"/>
    </row>
    <row r="225" spans="1:13" ht="26.25">
      <c r="A225" s="84"/>
      <c r="B225" s="94" t="s">
        <v>29</v>
      </c>
      <c r="C225" s="48" t="s">
        <v>92</v>
      </c>
      <c r="D225" s="60">
        <v>7500000</v>
      </c>
      <c r="E225" s="120">
        <v>0</v>
      </c>
      <c r="F225" s="132">
        <v>0</v>
      </c>
      <c r="G225" s="199" t="s">
        <v>132</v>
      </c>
      <c r="H225" s="59" t="s">
        <v>132</v>
      </c>
      <c r="I225" s="199" t="s">
        <v>132</v>
      </c>
      <c r="J225" s="59" t="s">
        <v>132</v>
      </c>
      <c r="K225" s="331">
        <f>2/12</f>
        <v>0.16666666666666666</v>
      </c>
      <c r="L225" s="59">
        <v>0</v>
      </c>
      <c r="M225" s="131"/>
    </row>
    <row r="226" spans="1:13" ht="26.25">
      <c r="A226" s="84"/>
      <c r="B226" s="94" t="s">
        <v>83</v>
      </c>
      <c r="C226" s="48" t="s">
        <v>93</v>
      </c>
      <c r="D226" s="62">
        <v>10000000</v>
      </c>
      <c r="E226" s="121">
        <v>0</v>
      </c>
      <c r="F226" s="133">
        <v>0</v>
      </c>
      <c r="G226" s="200" t="s">
        <v>132</v>
      </c>
      <c r="H226" s="59" t="s">
        <v>132</v>
      </c>
      <c r="I226" s="200" t="str">
        <f>G226</f>
        <v>-</v>
      </c>
      <c r="J226" s="59" t="s">
        <v>132</v>
      </c>
      <c r="K226" s="331">
        <f>2/12</f>
        <v>0.16666666666666666</v>
      </c>
      <c r="L226" s="153">
        <v>0</v>
      </c>
      <c r="M226" s="131"/>
    </row>
    <row r="227" spans="1:13">
      <c r="A227" s="93"/>
      <c r="B227" s="64"/>
      <c r="C227" s="65" t="s">
        <v>45</v>
      </c>
      <c r="D227" s="66">
        <f>SUM(D225:D226)</f>
        <v>17500000</v>
      </c>
      <c r="E227" s="66">
        <f t="shared" ref="E227:F227" si="57">SUM(E225:E226)</f>
        <v>0</v>
      </c>
      <c r="F227" s="66">
        <f t="shared" si="57"/>
        <v>0</v>
      </c>
      <c r="G227" s="122" t="s">
        <v>132</v>
      </c>
      <c r="H227" s="66" t="s">
        <v>132</v>
      </c>
      <c r="I227" s="122">
        <f t="shared" ref="I227" si="58">SUM(I225:I226)</f>
        <v>0</v>
      </c>
      <c r="J227" s="66" t="s">
        <v>132</v>
      </c>
      <c r="K227" s="333">
        <f>2/12</f>
        <v>0.16666666666666666</v>
      </c>
      <c r="L227" s="66">
        <v>0</v>
      </c>
      <c r="M227" s="66"/>
    </row>
    <row r="228" spans="1:13">
      <c r="A228" s="99">
        <v>26</v>
      </c>
      <c r="B228" s="104" t="s">
        <v>105</v>
      </c>
      <c r="C228" s="105"/>
      <c r="D228" s="57"/>
      <c r="E228" s="119"/>
      <c r="F228" s="131"/>
      <c r="G228" s="119"/>
      <c r="H228" s="152"/>
      <c r="I228" s="119"/>
      <c r="J228" s="152"/>
      <c r="K228" s="152"/>
      <c r="L228" s="152"/>
      <c r="M228" s="131"/>
    </row>
    <row r="229" spans="1:13">
      <c r="A229" s="44"/>
      <c r="B229" s="47" t="s">
        <v>84</v>
      </c>
      <c r="C229" s="48" t="s">
        <v>106</v>
      </c>
      <c r="D229" s="60">
        <v>5000000</v>
      </c>
      <c r="E229" s="120" t="s">
        <v>132</v>
      </c>
      <c r="F229" s="132">
        <v>0</v>
      </c>
      <c r="G229" s="120" t="s">
        <v>132</v>
      </c>
      <c r="H229" s="59" t="s">
        <v>132</v>
      </c>
      <c r="I229" s="120">
        <v>0</v>
      </c>
      <c r="J229" s="59" t="s">
        <v>132</v>
      </c>
      <c r="K229" s="157">
        <v>0</v>
      </c>
      <c r="L229" s="59">
        <v>0</v>
      </c>
      <c r="M229" s="132"/>
    </row>
    <row r="230" spans="1:13">
      <c r="A230" s="63"/>
      <c r="B230" s="64"/>
      <c r="C230" s="65" t="s">
        <v>45</v>
      </c>
      <c r="D230" s="66">
        <f>SUM(D229)</f>
        <v>5000000</v>
      </c>
      <c r="E230" s="66">
        <v>0</v>
      </c>
      <c r="F230" s="66">
        <f t="shared" ref="F230" si="59">SUM(F227:F229)</f>
        <v>0</v>
      </c>
      <c r="G230" s="122" t="s">
        <v>132</v>
      </c>
      <c r="H230" s="66" t="s">
        <v>132</v>
      </c>
      <c r="I230" s="122" t="s">
        <v>132</v>
      </c>
      <c r="J230" s="66" t="s">
        <v>132</v>
      </c>
      <c r="K230" s="66">
        <f>SUM(K229)</f>
        <v>0</v>
      </c>
      <c r="L230" s="66">
        <v>0</v>
      </c>
      <c r="M230" s="66"/>
    </row>
    <row r="231" spans="1:13">
      <c r="A231" s="99">
        <v>16</v>
      </c>
      <c r="B231" s="104" t="s">
        <v>123</v>
      </c>
      <c r="C231" s="105"/>
      <c r="D231" s="57"/>
      <c r="E231" s="119"/>
      <c r="F231" s="131"/>
      <c r="G231" s="119"/>
      <c r="H231" s="152"/>
      <c r="I231" s="119"/>
      <c r="J231" s="152"/>
      <c r="K231" s="152"/>
      <c r="L231" s="152"/>
      <c r="M231" s="131"/>
    </row>
    <row r="232" spans="1:13">
      <c r="A232" s="84"/>
      <c r="B232" s="185" t="s">
        <v>124</v>
      </c>
      <c r="C232" s="186"/>
      <c r="D232" s="182"/>
      <c r="E232" s="124"/>
      <c r="F232" s="131"/>
      <c r="G232" s="131"/>
      <c r="H232" s="152"/>
      <c r="I232" s="131"/>
      <c r="J232" s="152"/>
      <c r="K232" s="152"/>
      <c r="L232" s="152"/>
      <c r="M232" s="152"/>
    </row>
    <row r="233" spans="1:13" ht="26.25">
      <c r="A233" s="44"/>
      <c r="B233" s="282" t="s">
        <v>46</v>
      </c>
      <c r="C233" s="50" t="s">
        <v>217</v>
      </c>
      <c r="D233" s="60">
        <v>27000000</v>
      </c>
      <c r="E233" s="125">
        <v>0</v>
      </c>
      <c r="F233" s="135">
        <v>0</v>
      </c>
      <c r="G233" s="124">
        <v>0</v>
      </c>
      <c r="H233" s="59" t="s">
        <v>132</v>
      </c>
      <c r="I233" s="124">
        <v>0</v>
      </c>
      <c r="J233" s="59" t="s">
        <v>132</v>
      </c>
      <c r="K233" s="59">
        <v>0</v>
      </c>
      <c r="L233" s="59">
        <v>0</v>
      </c>
      <c r="M233" s="59"/>
    </row>
    <row r="234" spans="1:13">
      <c r="A234" s="44"/>
      <c r="B234" s="163" t="s">
        <v>111</v>
      </c>
      <c r="C234" s="204" t="s">
        <v>81</v>
      </c>
      <c r="D234" s="205">
        <v>3000000</v>
      </c>
      <c r="E234" s="125">
        <v>0</v>
      </c>
      <c r="F234" s="135">
        <v>0</v>
      </c>
      <c r="G234" s="201" t="s">
        <v>132</v>
      </c>
      <c r="H234" s="187" t="s">
        <v>132</v>
      </c>
      <c r="I234" s="201" t="s">
        <v>132</v>
      </c>
      <c r="J234" s="187" t="s">
        <v>132</v>
      </c>
      <c r="K234" s="212">
        <v>0</v>
      </c>
      <c r="L234" s="187"/>
      <c r="M234" s="188"/>
    </row>
    <row r="235" spans="1:13">
      <c r="A235" s="63"/>
      <c r="B235" s="64"/>
      <c r="C235" s="65" t="s">
        <v>45</v>
      </c>
      <c r="D235" s="66">
        <f>SUM(D233:D234)</f>
        <v>30000000</v>
      </c>
      <c r="E235" s="66">
        <f>SUM(E233:E234)</f>
        <v>0</v>
      </c>
      <c r="F235" s="66">
        <f>SUM(F233:F234)</f>
        <v>0</v>
      </c>
      <c r="G235" s="122" t="s">
        <v>132</v>
      </c>
      <c r="H235" s="66" t="s">
        <v>132</v>
      </c>
      <c r="I235" s="122">
        <f>SUM(I233:I234)</f>
        <v>0</v>
      </c>
      <c r="J235" s="66" t="s">
        <v>132</v>
      </c>
      <c r="K235" s="66">
        <f>SUM(K233:K234)</f>
        <v>0</v>
      </c>
      <c r="L235" s="66">
        <f>SUM(L233:L234)</f>
        <v>0</v>
      </c>
      <c r="M235" s="66"/>
    </row>
    <row r="236" spans="1:13">
      <c r="A236" s="99">
        <v>17</v>
      </c>
      <c r="B236" s="104" t="s">
        <v>127</v>
      </c>
      <c r="C236" s="105"/>
      <c r="D236" s="57"/>
      <c r="E236" s="119"/>
      <c r="F236" s="131"/>
      <c r="G236" s="119"/>
      <c r="H236" s="152"/>
      <c r="I236" s="119"/>
      <c r="J236" s="152"/>
      <c r="K236" s="152"/>
      <c r="L236" s="152"/>
      <c r="M236" s="131"/>
    </row>
    <row r="237" spans="1:13" ht="26.25">
      <c r="A237" s="44"/>
      <c r="B237" s="47" t="s">
        <v>84</v>
      </c>
      <c r="C237" s="48" t="s">
        <v>128</v>
      </c>
      <c r="D237" s="60">
        <v>10000000</v>
      </c>
      <c r="E237" s="120">
        <v>0</v>
      </c>
      <c r="F237" s="132">
        <v>0</v>
      </c>
      <c r="G237" s="120" t="s">
        <v>132</v>
      </c>
      <c r="H237" s="59" t="s">
        <v>132</v>
      </c>
      <c r="I237" s="120">
        <v>0</v>
      </c>
      <c r="J237" s="59" t="s">
        <v>132</v>
      </c>
      <c r="K237" s="157">
        <v>0</v>
      </c>
      <c r="L237" s="59">
        <v>0</v>
      </c>
      <c r="M237" s="132"/>
    </row>
    <row r="238" spans="1:13">
      <c r="A238" s="63"/>
      <c r="B238" s="64"/>
      <c r="C238" s="65" t="s">
        <v>45</v>
      </c>
      <c r="D238" s="66">
        <f>SUM(D237)</f>
        <v>10000000</v>
      </c>
      <c r="E238" s="66">
        <f t="shared" ref="E238:F238" si="60">SUM(E235:E237)</f>
        <v>0</v>
      </c>
      <c r="F238" s="66">
        <f t="shared" si="60"/>
        <v>0</v>
      </c>
      <c r="G238" s="122" t="s">
        <v>132</v>
      </c>
      <c r="H238" s="66" t="s">
        <v>132</v>
      </c>
      <c r="I238" s="122" t="s">
        <v>132</v>
      </c>
      <c r="J238" s="66" t="s">
        <v>132</v>
      </c>
      <c r="K238" s="66">
        <f>SUM(K237)</f>
        <v>0</v>
      </c>
      <c r="L238" s="66">
        <v>0</v>
      </c>
      <c r="M238" s="66"/>
    </row>
    <row r="239" spans="1:13">
      <c r="A239" s="44">
        <v>18</v>
      </c>
      <c r="B239" s="104" t="s">
        <v>218</v>
      </c>
      <c r="C239" s="105"/>
      <c r="D239" s="70"/>
      <c r="E239" s="70"/>
      <c r="F239" s="70"/>
      <c r="G239" s="287"/>
      <c r="H239" s="70"/>
      <c r="I239" s="287"/>
      <c r="J239" s="70"/>
      <c r="K239" s="70"/>
      <c r="L239" s="70"/>
      <c r="M239" s="70"/>
    </row>
    <row r="240" spans="1:13" ht="25.5">
      <c r="A240" s="44"/>
      <c r="B240" s="283" t="s">
        <v>83</v>
      </c>
      <c r="C240" s="284" t="s">
        <v>219</v>
      </c>
      <c r="D240" s="288">
        <v>50000000</v>
      </c>
      <c r="E240" s="285">
        <v>0</v>
      </c>
      <c r="F240" s="285">
        <v>0</v>
      </c>
      <c r="G240" s="286">
        <v>0</v>
      </c>
      <c r="H240" s="285">
        <v>0</v>
      </c>
      <c r="I240" s="286">
        <v>0</v>
      </c>
      <c r="J240" s="285">
        <v>0</v>
      </c>
      <c r="K240" s="157">
        <v>0</v>
      </c>
      <c r="L240" s="285">
        <v>0</v>
      </c>
      <c r="M240" s="285"/>
    </row>
    <row r="241" spans="1:13">
      <c r="A241" s="63"/>
      <c r="B241" s="64"/>
      <c r="C241" s="65" t="s">
        <v>45</v>
      </c>
      <c r="D241" s="66">
        <f>SUM(D240)</f>
        <v>50000000</v>
      </c>
      <c r="E241" s="66">
        <v>0</v>
      </c>
      <c r="F241" s="66">
        <v>0</v>
      </c>
      <c r="G241" s="122">
        <v>0</v>
      </c>
      <c r="H241" s="66">
        <v>0</v>
      </c>
      <c r="I241" s="122">
        <v>0</v>
      </c>
      <c r="J241" s="66">
        <v>0</v>
      </c>
      <c r="K241" s="66">
        <f>SUM(K240)</f>
        <v>0</v>
      </c>
      <c r="L241" s="66">
        <v>0</v>
      </c>
      <c r="M241" s="66"/>
    </row>
    <row r="242" spans="1:13">
      <c r="A242" s="44">
        <v>24</v>
      </c>
      <c r="B242" s="104" t="s">
        <v>221</v>
      </c>
      <c r="C242" s="105"/>
      <c r="D242" s="70"/>
      <c r="E242" s="70"/>
      <c r="F242" s="70"/>
      <c r="G242" s="287"/>
      <c r="H242" s="70"/>
      <c r="I242" s="287"/>
      <c r="J242" s="70"/>
      <c r="K242" s="70"/>
      <c r="L242" s="70"/>
      <c r="M242" s="70"/>
    </row>
    <row r="243" spans="1:13">
      <c r="A243" s="44"/>
      <c r="B243" s="283" t="s">
        <v>83</v>
      </c>
      <c r="C243" s="284" t="s">
        <v>222</v>
      </c>
      <c r="D243" s="288">
        <v>50000000</v>
      </c>
      <c r="E243" s="285">
        <v>0</v>
      </c>
      <c r="F243" s="285">
        <v>0</v>
      </c>
      <c r="G243" s="286">
        <v>0</v>
      </c>
      <c r="H243" s="285">
        <v>0</v>
      </c>
      <c r="I243" s="286">
        <v>0</v>
      </c>
      <c r="J243" s="285">
        <v>0</v>
      </c>
      <c r="K243" s="157">
        <v>0</v>
      </c>
      <c r="L243" s="285">
        <v>0</v>
      </c>
      <c r="M243" s="285"/>
    </row>
    <row r="244" spans="1:13">
      <c r="A244" s="63"/>
      <c r="B244" s="64"/>
      <c r="C244" s="65" t="s">
        <v>45</v>
      </c>
      <c r="D244" s="66">
        <f>SUM(D243)</f>
        <v>50000000</v>
      </c>
      <c r="E244" s="66">
        <v>0</v>
      </c>
      <c r="F244" s="66">
        <v>0</v>
      </c>
      <c r="G244" s="122">
        <v>0</v>
      </c>
      <c r="H244" s="66">
        <v>0</v>
      </c>
      <c r="I244" s="122">
        <v>0</v>
      </c>
      <c r="J244" s="66">
        <v>0</v>
      </c>
      <c r="K244" s="66">
        <f>SUM(K243)</f>
        <v>0</v>
      </c>
      <c r="L244" s="66">
        <v>0</v>
      </c>
      <c r="M244" s="66"/>
    </row>
    <row r="245" spans="1:13" ht="15.75" thickBot="1">
      <c r="A245" s="166"/>
      <c r="B245" s="167" t="s">
        <v>85</v>
      </c>
      <c r="C245" s="106"/>
      <c r="D245" s="107">
        <f>D139+D136</f>
        <v>3251325000</v>
      </c>
      <c r="E245" s="107">
        <f>E139+E136</f>
        <v>0</v>
      </c>
      <c r="F245" s="107">
        <f>F139+F136</f>
        <v>0</v>
      </c>
      <c r="G245" s="107">
        <f>G136+G139</f>
        <v>299020823</v>
      </c>
      <c r="H245" s="213">
        <f>G245/D245*100</f>
        <v>9.1968912058929817</v>
      </c>
      <c r="I245" s="107">
        <f>I139+I136</f>
        <v>299020823</v>
      </c>
      <c r="J245" s="213">
        <f>I245/D245*100</f>
        <v>9.1968912058929817</v>
      </c>
      <c r="K245" s="337">
        <f>2/12</f>
        <v>0.16666666666666666</v>
      </c>
      <c r="L245" s="213">
        <f>J245</f>
        <v>9.1968912058929817</v>
      </c>
      <c r="M245" s="326"/>
    </row>
    <row r="246" spans="1:13" ht="15.75" thickTop="1">
      <c r="A246" s="168"/>
      <c r="B246" s="169"/>
      <c r="C246" s="170"/>
      <c r="D246" s="171"/>
      <c r="E246" s="108"/>
      <c r="H246" s="128"/>
      <c r="I246" s="159" t="s">
        <v>229</v>
      </c>
      <c r="J246" s="128"/>
      <c r="L246" s="128"/>
      <c r="M246" s="325"/>
    </row>
    <row r="247" spans="1:13">
      <c r="A247" s="172"/>
      <c r="B247" s="169"/>
      <c r="C247" s="173"/>
      <c r="D247" s="171"/>
      <c r="E247" s="174"/>
      <c r="H247" s="128"/>
      <c r="I247" s="159" t="s">
        <v>86</v>
      </c>
      <c r="J247" s="128"/>
      <c r="L247" s="128"/>
      <c r="M247" s="327"/>
    </row>
    <row r="248" spans="1:13">
      <c r="A248" s="172"/>
      <c r="B248" s="169"/>
      <c r="C248" s="173"/>
      <c r="D248" s="171"/>
      <c r="E248" s="108"/>
      <c r="H248" s="128"/>
      <c r="I248" s="159"/>
      <c r="J248" s="128"/>
      <c r="L248" s="128"/>
      <c r="M248" s="128"/>
    </row>
    <row r="249" spans="1:13">
      <c r="A249" s="175"/>
      <c r="B249" s="176"/>
      <c r="C249" s="177"/>
      <c r="D249" s="171"/>
      <c r="E249" s="108"/>
      <c r="G249" s="128" t="s">
        <v>227</v>
      </c>
      <c r="H249" s="128"/>
      <c r="I249" s="160" t="s">
        <v>120</v>
      </c>
      <c r="J249" s="128"/>
      <c r="L249" s="128"/>
      <c r="M249" s="128"/>
    </row>
    <row r="250" spans="1:13">
      <c r="A250" s="175"/>
      <c r="B250" s="176"/>
      <c r="C250" s="177"/>
      <c r="D250" s="175"/>
      <c r="E250" s="108"/>
      <c r="H250" s="128"/>
      <c r="I250" s="159" t="s">
        <v>108</v>
      </c>
      <c r="J250" s="128"/>
      <c r="L250" s="128"/>
      <c r="M250" s="128"/>
    </row>
    <row r="251" spans="1:13">
      <c r="A251" s="175"/>
      <c r="B251" s="176"/>
      <c r="C251" s="177"/>
      <c r="D251" s="175"/>
      <c r="E251" s="108"/>
      <c r="H251" s="128"/>
      <c r="I251" s="159" t="s">
        <v>121</v>
      </c>
      <c r="J251" s="128"/>
      <c r="L251" s="128"/>
      <c r="M251" s="128"/>
    </row>
    <row r="252" spans="1:13">
      <c r="A252" s="11"/>
      <c r="B252" s="12"/>
      <c r="C252" s="13"/>
      <c r="D252" s="175"/>
      <c r="E252" s="108"/>
      <c r="I252" s="10"/>
    </row>
    <row r="284" spans="1:13" ht="15.75">
      <c r="A284" s="832" t="s">
        <v>223</v>
      </c>
      <c r="B284" s="832"/>
      <c r="C284" s="832"/>
      <c r="D284" s="832"/>
      <c r="E284" s="832"/>
      <c r="F284" s="832"/>
      <c r="G284" s="832"/>
      <c r="H284" s="832"/>
      <c r="I284" s="832"/>
      <c r="J284" s="832"/>
      <c r="K284" s="832"/>
      <c r="L284" s="832"/>
      <c r="M284" s="832"/>
    </row>
    <row r="285" spans="1:13" ht="15.75">
      <c r="A285" s="832" t="s">
        <v>224</v>
      </c>
      <c r="B285" s="832"/>
      <c r="C285" s="832"/>
      <c r="D285" s="832"/>
      <c r="E285" s="832"/>
      <c r="F285" s="832"/>
      <c r="G285" s="832"/>
      <c r="H285" s="832"/>
      <c r="I285" s="832"/>
      <c r="J285" s="832"/>
      <c r="K285" s="832"/>
      <c r="L285" s="832"/>
      <c r="M285" s="832"/>
    </row>
    <row r="286" spans="1:13" ht="15.75">
      <c r="A286" s="541"/>
      <c r="B286" s="541"/>
      <c r="C286" s="541"/>
      <c r="D286" s="541"/>
      <c r="E286" s="541"/>
      <c r="F286" s="541"/>
      <c r="G286" s="303"/>
      <c r="H286" s="541"/>
      <c r="I286" s="541"/>
      <c r="J286" s="541"/>
      <c r="K286" s="303"/>
      <c r="L286" s="541"/>
      <c r="M286" s="541"/>
    </row>
    <row r="287" spans="1:13" ht="16.5">
      <c r="A287" s="1" t="s">
        <v>213</v>
      </c>
      <c r="B287" s="2"/>
      <c r="C287" s="3" t="s">
        <v>2</v>
      </c>
      <c r="E287" s="108"/>
      <c r="G287" s="304"/>
      <c r="H287" s="4"/>
      <c r="I287" s="5"/>
      <c r="J287" s="4"/>
      <c r="M287" s="4"/>
    </row>
    <row r="288" spans="1:13" ht="17.25" thickBot="1">
      <c r="A288" s="14" t="s">
        <v>225</v>
      </c>
      <c r="B288" s="14"/>
      <c r="C288" s="292" t="s">
        <v>230</v>
      </c>
      <c r="D288" s="129"/>
      <c r="E288" s="109"/>
      <c r="F288" s="129"/>
      <c r="G288" s="305"/>
      <c r="H288" s="14"/>
      <c r="I288" s="16"/>
      <c r="J288" s="14"/>
      <c r="K288" s="129"/>
      <c r="L288" s="15"/>
      <c r="M288" s="14"/>
    </row>
    <row r="289" spans="1:13" ht="15.75" thickTop="1">
      <c r="A289" s="833" t="s">
        <v>3</v>
      </c>
      <c r="B289" s="836" t="s">
        <v>4</v>
      </c>
      <c r="C289" s="837"/>
      <c r="D289" s="289" t="s">
        <v>5</v>
      </c>
      <c r="E289" s="110" t="s">
        <v>6</v>
      </c>
      <c r="F289" s="130"/>
      <c r="G289" s="842" t="s">
        <v>7</v>
      </c>
      <c r="H289" s="843"/>
      <c r="I289" s="843"/>
      <c r="J289" s="843"/>
      <c r="K289" s="844" t="s">
        <v>8</v>
      </c>
      <c r="L289" s="844"/>
      <c r="M289" s="833" t="s">
        <v>9</v>
      </c>
    </row>
    <row r="290" spans="1:13">
      <c r="A290" s="834"/>
      <c r="B290" s="838"/>
      <c r="C290" s="839"/>
      <c r="D290" s="290" t="s">
        <v>10</v>
      </c>
      <c r="E290" s="111" t="s">
        <v>11</v>
      </c>
      <c r="F290" s="111" t="s">
        <v>12</v>
      </c>
      <c r="G290" s="111" t="s">
        <v>13</v>
      </c>
      <c r="H290" s="845" t="s">
        <v>14</v>
      </c>
      <c r="I290" s="6" t="s">
        <v>15</v>
      </c>
      <c r="J290" s="846" t="s">
        <v>14</v>
      </c>
      <c r="K290" s="321" t="s">
        <v>16</v>
      </c>
      <c r="L290" s="7" t="s">
        <v>17</v>
      </c>
      <c r="M290" s="834"/>
    </row>
    <row r="291" spans="1:13">
      <c r="A291" s="835"/>
      <c r="B291" s="840"/>
      <c r="C291" s="841"/>
      <c r="D291" s="291" t="s">
        <v>18</v>
      </c>
      <c r="E291" s="112" t="s">
        <v>18</v>
      </c>
      <c r="F291" s="112"/>
      <c r="G291" s="306" t="s">
        <v>19</v>
      </c>
      <c r="H291" s="835"/>
      <c r="I291" s="8" t="s">
        <v>19</v>
      </c>
      <c r="J291" s="847"/>
      <c r="K291" s="322" t="s">
        <v>233</v>
      </c>
      <c r="L291" s="322" t="s">
        <v>233</v>
      </c>
      <c r="M291" s="835"/>
    </row>
    <row r="292" spans="1:13" ht="15.75" thickBot="1">
      <c r="A292" s="17">
        <v>1</v>
      </c>
      <c r="B292" s="828">
        <v>2</v>
      </c>
      <c r="C292" s="829"/>
      <c r="D292" s="113">
        <v>3</v>
      </c>
      <c r="E292" s="113">
        <v>4</v>
      </c>
      <c r="F292" s="113">
        <v>5</v>
      </c>
      <c r="G292" s="113">
        <v>6</v>
      </c>
      <c r="H292" s="18">
        <v>7</v>
      </c>
      <c r="I292" s="18">
        <v>8</v>
      </c>
      <c r="J292" s="18">
        <v>9</v>
      </c>
      <c r="K292" s="113">
        <v>10</v>
      </c>
      <c r="L292" s="18">
        <v>11</v>
      </c>
      <c r="M292" s="18">
        <v>12</v>
      </c>
    </row>
    <row r="293" spans="1:13" ht="15.75" thickBot="1">
      <c r="A293" s="35" t="s">
        <v>20</v>
      </c>
      <c r="B293" s="36" t="s">
        <v>21</v>
      </c>
      <c r="C293" s="37"/>
      <c r="D293" s="30">
        <f>D294+D295</f>
        <v>2257113000</v>
      </c>
      <c r="E293" s="30">
        <f>E294</f>
        <v>0</v>
      </c>
      <c r="F293" s="30">
        <v>0</v>
      </c>
      <c r="G293" s="328">
        <v>354938724</v>
      </c>
      <c r="H293" s="214">
        <f>G293/D293*100</f>
        <v>15.725341354198926</v>
      </c>
      <c r="I293" s="30">
        <f>G293</f>
        <v>354938724</v>
      </c>
      <c r="J293" s="217">
        <f>I293/D293*100</f>
        <v>15.725341354198926</v>
      </c>
      <c r="K293" s="335">
        <f>3/12</f>
        <v>0.25</v>
      </c>
      <c r="L293" s="215">
        <f>J293</f>
        <v>15.725341354198926</v>
      </c>
      <c r="M293" s="53"/>
    </row>
    <row r="294" spans="1:13" ht="15.75" thickBot="1">
      <c r="A294" s="38" t="s">
        <v>22</v>
      </c>
      <c r="B294" s="39" t="s">
        <v>23</v>
      </c>
      <c r="C294" s="40"/>
      <c r="D294" s="31">
        <v>1872153000</v>
      </c>
      <c r="E294" s="114">
        <v>0</v>
      </c>
      <c r="F294" s="30">
        <v>0</v>
      </c>
      <c r="G294" s="329">
        <v>354938724</v>
      </c>
      <c r="H294" s="214">
        <f>G294/D294*100</f>
        <v>18.958852401486418</v>
      </c>
      <c r="I294" s="296">
        <f>G294</f>
        <v>354938724</v>
      </c>
      <c r="J294" s="217">
        <f>I294/D294*100</f>
        <v>18.958852401486418</v>
      </c>
      <c r="K294" s="335">
        <f>3/12</f>
        <v>0.25</v>
      </c>
      <c r="L294" s="215">
        <f>J294</f>
        <v>18.958852401486418</v>
      </c>
      <c r="M294" s="146"/>
    </row>
    <row r="295" spans="1:13" ht="15.75" thickBot="1">
      <c r="A295" s="139"/>
      <c r="B295" s="140" t="s">
        <v>107</v>
      </c>
      <c r="C295" s="141"/>
      <c r="D295" s="31">
        <v>384960000</v>
      </c>
      <c r="E295" s="114">
        <v>0</v>
      </c>
      <c r="F295" s="30">
        <v>0</v>
      </c>
      <c r="G295" s="147">
        <v>0</v>
      </c>
      <c r="H295" s="53">
        <v>0</v>
      </c>
      <c r="I295" s="190">
        <v>0</v>
      </c>
      <c r="J295" s="148">
        <v>0</v>
      </c>
      <c r="K295" s="331">
        <f>3/12</f>
        <v>0.25</v>
      </c>
      <c r="L295" s="334">
        <v>0</v>
      </c>
      <c r="M295" s="149"/>
    </row>
    <row r="296" spans="1:13" ht="15.75" thickBot="1">
      <c r="A296" s="35" t="s">
        <v>24</v>
      </c>
      <c r="B296" s="36" t="s">
        <v>25</v>
      </c>
      <c r="C296" s="37"/>
      <c r="D296" s="30">
        <f>D313+D323+D326+D330+D333+D336+D342+D345+D349+D352+D356+D359+D362+D365+D369+D372+D375+D380+D384+D387+D392+D395+D398+D401</f>
        <v>994212000</v>
      </c>
      <c r="E296" s="30">
        <v>0</v>
      </c>
      <c r="F296" s="30">
        <v>0</v>
      </c>
      <c r="G296" s="30">
        <f>G313+G323+G352+G356+G372+G375+G362+G365+G369+G384</f>
        <v>92109763</v>
      </c>
      <c r="H296" s="215">
        <f>G296/D296*100</f>
        <v>9.2645998036636055</v>
      </c>
      <c r="I296" s="296">
        <f>G296</f>
        <v>92109763</v>
      </c>
      <c r="J296" s="217">
        <f>I296/D296*100</f>
        <v>9.2645998036636055</v>
      </c>
      <c r="K296" s="336">
        <f>3/12</f>
        <v>0.25</v>
      </c>
      <c r="L296" s="215">
        <f>J296</f>
        <v>9.2645998036636055</v>
      </c>
      <c r="M296" s="30"/>
    </row>
    <row r="297" spans="1:13">
      <c r="A297" s="41" t="s">
        <v>26</v>
      </c>
      <c r="B297" s="42" t="s">
        <v>27</v>
      </c>
      <c r="C297" s="43"/>
      <c r="D297" s="32"/>
      <c r="E297" s="115"/>
      <c r="F297" s="32"/>
      <c r="G297" s="150"/>
      <c r="H297" s="151"/>
      <c r="I297" s="191"/>
      <c r="J297" s="150"/>
      <c r="K297" s="32"/>
      <c r="L297" s="32"/>
      <c r="M297" s="32"/>
    </row>
    <row r="298" spans="1:13">
      <c r="A298" s="44"/>
      <c r="B298" s="45" t="s">
        <v>26</v>
      </c>
      <c r="C298" s="46" t="s">
        <v>28</v>
      </c>
      <c r="D298" s="33">
        <v>6000000</v>
      </c>
      <c r="E298" s="116">
        <v>0</v>
      </c>
      <c r="F298" s="131">
        <v>0</v>
      </c>
      <c r="G298" s="192">
        <f>999000+501000</f>
        <v>1500000</v>
      </c>
      <c r="H298" s="299">
        <f>G298/D298*100</f>
        <v>25</v>
      </c>
      <c r="I298" s="192">
        <f>G298</f>
        <v>1500000</v>
      </c>
      <c r="J298" s="301">
        <f>H298</f>
        <v>25</v>
      </c>
      <c r="K298" s="331">
        <f>3/12</f>
        <v>0.25</v>
      </c>
      <c r="L298" s="311">
        <f>J298</f>
        <v>25</v>
      </c>
      <c r="M298" s="131"/>
    </row>
    <row r="299" spans="1:13">
      <c r="A299" s="44"/>
      <c r="B299" s="47" t="s">
        <v>29</v>
      </c>
      <c r="C299" s="48" t="s">
        <v>30</v>
      </c>
      <c r="D299" s="34">
        <v>8000000</v>
      </c>
      <c r="E299" s="297">
        <v>0</v>
      </c>
      <c r="F299" s="132">
        <v>0</v>
      </c>
      <c r="G299" s="192">
        <f>467674+282053</f>
        <v>749727</v>
      </c>
      <c r="H299" s="299">
        <f t="shared" ref="H299:H312" si="61">G299/D299*100</f>
        <v>9.3715875000000004</v>
      </c>
      <c r="I299" s="192">
        <f>G299</f>
        <v>749727</v>
      </c>
      <c r="J299" s="301">
        <f t="shared" ref="J299:J309" si="62">I299/D299*100</f>
        <v>9.3715875000000004</v>
      </c>
      <c r="K299" s="331">
        <f>3/12</f>
        <v>0.25</v>
      </c>
      <c r="L299" s="311">
        <f t="shared" ref="L299:L311" si="63">J299</f>
        <v>9.3715875000000004</v>
      </c>
      <c r="M299" s="132"/>
    </row>
    <row r="300" spans="1:13">
      <c r="A300" s="44"/>
      <c r="B300" s="47" t="s">
        <v>29</v>
      </c>
      <c r="C300" s="48" t="s">
        <v>31</v>
      </c>
      <c r="D300" s="34">
        <v>5000000</v>
      </c>
      <c r="E300" s="297">
        <v>0</v>
      </c>
      <c r="F300" s="132">
        <v>0</v>
      </c>
      <c r="G300" s="192">
        <f>307450+140250</f>
        <v>447700</v>
      </c>
      <c r="H300" s="299">
        <f t="shared" si="61"/>
        <v>8.9539999999999988</v>
      </c>
      <c r="I300" s="192">
        <f t="shared" ref="I300:I312" si="64">G300</f>
        <v>447700</v>
      </c>
      <c r="J300" s="301">
        <f t="shared" si="62"/>
        <v>8.9539999999999988</v>
      </c>
      <c r="K300" s="331">
        <f t="shared" ref="K300:K312" si="65">3/12</f>
        <v>0.25</v>
      </c>
      <c r="L300" s="311">
        <f t="shared" si="63"/>
        <v>8.9539999999999988</v>
      </c>
      <c r="M300" s="132"/>
    </row>
    <row r="301" spans="1:13">
      <c r="A301" s="44"/>
      <c r="B301" s="47" t="s">
        <v>29</v>
      </c>
      <c r="C301" s="48" t="s">
        <v>32</v>
      </c>
      <c r="D301" s="34">
        <v>12000000</v>
      </c>
      <c r="E301" s="297">
        <v>0</v>
      </c>
      <c r="F301" s="132">
        <v>0</v>
      </c>
      <c r="G301" s="192">
        <f>1262852+588784</f>
        <v>1851636</v>
      </c>
      <c r="H301" s="299">
        <f t="shared" si="61"/>
        <v>15.430299999999999</v>
      </c>
      <c r="I301" s="192">
        <f t="shared" si="64"/>
        <v>1851636</v>
      </c>
      <c r="J301" s="301">
        <f t="shared" si="62"/>
        <v>15.430299999999999</v>
      </c>
      <c r="K301" s="331">
        <f t="shared" si="65"/>
        <v>0.25</v>
      </c>
      <c r="L301" s="311">
        <f t="shared" si="63"/>
        <v>15.430299999999999</v>
      </c>
      <c r="M301" s="132"/>
    </row>
    <row r="302" spans="1:13">
      <c r="A302" s="44"/>
      <c r="B302" s="47" t="s">
        <v>33</v>
      </c>
      <c r="C302" s="48" t="s">
        <v>34</v>
      </c>
      <c r="D302" s="34">
        <v>12105000</v>
      </c>
      <c r="E302" s="117">
        <v>0</v>
      </c>
      <c r="F302" s="132">
        <v>0</v>
      </c>
      <c r="G302" s="192">
        <v>2000000</v>
      </c>
      <c r="H302" s="299">
        <f t="shared" si="61"/>
        <v>16.522098306484921</v>
      </c>
      <c r="I302" s="192">
        <f t="shared" si="64"/>
        <v>2000000</v>
      </c>
      <c r="J302" s="301">
        <f t="shared" si="62"/>
        <v>16.522098306484921</v>
      </c>
      <c r="K302" s="331">
        <f t="shared" si="65"/>
        <v>0.25</v>
      </c>
      <c r="L302" s="311">
        <f t="shared" si="63"/>
        <v>16.522098306484921</v>
      </c>
      <c r="M302" s="132"/>
    </row>
    <row r="303" spans="1:13">
      <c r="A303" s="44"/>
      <c r="B303" s="47">
        <v>10</v>
      </c>
      <c r="C303" s="48" t="s">
        <v>35</v>
      </c>
      <c r="D303" s="34">
        <v>11895000</v>
      </c>
      <c r="E303" s="117">
        <v>0</v>
      </c>
      <c r="F303" s="132">
        <v>0</v>
      </c>
      <c r="G303" s="192">
        <f>1500000+1000000</f>
        <v>2500000</v>
      </c>
      <c r="H303" s="299">
        <f t="shared" si="61"/>
        <v>21.017234131988229</v>
      </c>
      <c r="I303" s="192">
        <f t="shared" si="64"/>
        <v>2500000</v>
      </c>
      <c r="J303" s="301">
        <f t="shared" si="62"/>
        <v>21.017234131988229</v>
      </c>
      <c r="K303" s="331">
        <f t="shared" si="65"/>
        <v>0.25</v>
      </c>
      <c r="L303" s="311">
        <f t="shared" si="63"/>
        <v>21.017234131988229</v>
      </c>
      <c r="M303" s="132"/>
    </row>
    <row r="304" spans="1:13">
      <c r="A304" s="44"/>
      <c r="B304" s="47">
        <v>11</v>
      </c>
      <c r="C304" s="48" t="s">
        <v>36</v>
      </c>
      <c r="D304" s="34">
        <v>6000000</v>
      </c>
      <c r="E304" s="117">
        <v>0</v>
      </c>
      <c r="F304" s="132">
        <v>0</v>
      </c>
      <c r="G304" s="192">
        <f>1000000+500000</f>
        <v>1500000</v>
      </c>
      <c r="H304" s="299">
        <f t="shared" si="61"/>
        <v>25</v>
      </c>
      <c r="I304" s="192">
        <f t="shared" si="64"/>
        <v>1500000</v>
      </c>
      <c r="J304" s="301">
        <f t="shared" si="62"/>
        <v>25</v>
      </c>
      <c r="K304" s="331">
        <f t="shared" si="65"/>
        <v>0.25</v>
      </c>
      <c r="L304" s="311">
        <f t="shared" si="63"/>
        <v>25</v>
      </c>
      <c r="M304" s="132"/>
    </row>
    <row r="305" spans="1:13">
      <c r="A305" s="44"/>
      <c r="B305" s="47">
        <v>11</v>
      </c>
      <c r="C305" s="48" t="s">
        <v>37</v>
      </c>
      <c r="D305" s="34">
        <v>18000000</v>
      </c>
      <c r="E305" s="117">
        <v>0</v>
      </c>
      <c r="F305" s="132">
        <v>0</v>
      </c>
      <c r="G305" s="192">
        <f>2525600+17850</f>
        <v>2543450</v>
      </c>
      <c r="H305" s="299">
        <f t="shared" si="61"/>
        <v>14.130277777777778</v>
      </c>
      <c r="I305" s="192">
        <f t="shared" si="64"/>
        <v>2543450</v>
      </c>
      <c r="J305" s="301">
        <f t="shared" si="62"/>
        <v>14.130277777777778</v>
      </c>
      <c r="K305" s="331">
        <f t="shared" si="65"/>
        <v>0.25</v>
      </c>
      <c r="L305" s="311">
        <f t="shared" si="63"/>
        <v>14.130277777777778</v>
      </c>
      <c r="M305" s="132"/>
    </row>
    <row r="306" spans="1:13">
      <c r="A306" s="44"/>
      <c r="B306" s="47">
        <v>12</v>
      </c>
      <c r="C306" s="48" t="s">
        <v>38</v>
      </c>
      <c r="D306" s="34">
        <v>5000000</v>
      </c>
      <c r="E306" s="117">
        <v>0</v>
      </c>
      <c r="F306" s="132">
        <v>0</v>
      </c>
      <c r="G306" s="192">
        <v>1000000</v>
      </c>
      <c r="H306" s="299">
        <f t="shared" si="61"/>
        <v>20</v>
      </c>
      <c r="I306" s="192">
        <f t="shared" si="64"/>
        <v>1000000</v>
      </c>
      <c r="J306" s="301">
        <f t="shared" si="62"/>
        <v>20</v>
      </c>
      <c r="K306" s="331">
        <f t="shared" si="65"/>
        <v>0.25</v>
      </c>
      <c r="L306" s="311">
        <f t="shared" si="63"/>
        <v>20</v>
      </c>
      <c r="M306" s="132"/>
    </row>
    <row r="307" spans="1:13">
      <c r="A307" s="44"/>
      <c r="B307" s="47">
        <v>13</v>
      </c>
      <c r="C307" s="48" t="s">
        <v>39</v>
      </c>
      <c r="D307" s="34">
        <v>5000000</v>
      </c>
      <c r="E307" s="117">
        <v>0</v>
      </c>
      <c r="F307" s="132">
        <v>0</v>
      </c>
      <c r="G307" s="192">
        <f>1000000+250000</f>
        <v>1250000</v>
      </c>
      <c r="H307" s="299">
        <f t="shared" si="61"/>
        <v>25</v>
      </c>
      <c r="I307" s="192">
        <f t="shared" si="64"/>
        <v>1250000</v>
      </c>
      <c r="J307" s="301">
        <f t="shared" si="62"/>
        <v>25</v>
      </c>
      <c r="K307" s="331">
        <f t="shared" si="65"/>
        <v>0.25</v>
      </c>
      <c r="L307" s="311">
        <f t="shared" si="63"/>
        <v>25</v>
      </c>
      <c r="M307" s="132"/>
    </row>
    <row r="308" spans="1:13">
      <c r="A308" s="44"/>
      <c r="B308" s="47">
        <v>15</v>
      </c>
      <c r="C308" s="48" t="s">
        <v>40</v>
      </c>
      <c r="D308" s="34">
        <v>3000000</v>
      </c>
      <c r="E308" s="117">
        <v>0</v>
      </c>
      <c r="F308" s="132">
        <v>0</v>
      </c>
      <c r="G308" s="192">
        <f>260000+140000</f>
        <v>400000</v>
      </c>
      <c r="H308" s="299">
        <f t="shared" si="61"/>
        <v>13.333333333333334</v>
      </c>
      <c r="I308" s="192">
        <f t="shared" si="64"/>
        <v>400000</v>
      </c>
      <c r="J308" s="301">
        <f t="shared" si="62"/>
        <v>13.333333333333334</v>
      </c>
      <c r="K308" s="331">
        <f t="shared" si="65"/>
        <v>0.25</v>
      </c>
      <c r="L308" s="311">
        <f t="shared" si="63"/>
        <v>13.333333333333334</v>
      </c>
      <c r="M308" s="132"/>
    </row>
    <row r="309" spans="1:13">
      <c r="A309" s="44"/>
      <c r="B309" s="47">
        <v>17</v>
      </c>
      <c r="C309" s="48" t="s">
        <v>41</v>
      </c>
      <c r="D309" s="34">
        <v>5000000</v>
      </c>
      <c r="E309" s="117">
        <v>0</v>
      </c>
      <c r="F309" s="132">
        <v>0</v>
      </c>
      <c r="G309" s="192">
        <f>1000000+250000</f>
        <v>1250000</v>
      </c>
      <c r="H309" s="299">
        <f t="shared" si="61"/>
        <v>25</v>
      </c>
      <c r="I309" s="192">
        <f t="shared" si="64"/>
        <v>1250000</v>
      </c>
      <c r="J309" s="301">
        <f t="shared" si="62"/>
        <v>25</v>
      </c>
      <c r="K309" s="331">
        <f t="shared" si="65"/>
        <v>0.25</v>
      </c>
      <c r="L309" s="311">
        <f t="shared" si="63"/>
        <v>25</v>
      </c>
      <c r="M309" s="132"/>
    </row>
    <row r="310" spans="1:13">
      <c r="A310" s="44"/>
      <c r="B310" s="47">
        <v>17</v>
      </c>
      <c r="C310" s="48" t="s">
        <v>42</v>
      </c>
      <c r="D310" s="34">
        <v>7000000</v>
      </c>
      <c r="E310" s="117">
        <v>0</v>
      </c>
      <c r="F310" s="132">
        <v>0</v>
      </c>
      <c r="G310" s="192">
        <f>1200000+400000</f>
        <v>1600000</v>
      </c>
      <c r="H310" s="299">
        <f t="shared" si="61"/>
        <v>22.857142857142858</v>
      </c>
      <c r="I310" s="192">
        <f t="shared" si="64"/>
        <v>1600000</v>
      </c>
      <c r="J310" s="301">
        <f>I310/D310*100</f>
        <v>22.857142857142858</v>
      </c>
      <c r="K310" s="331">
        <f t="shared" si="65"/>
        <v>0.25</v>
      </c>
      <c r="L310" s="311">
        <f t="shared" si="63"/>
        <v>22.857142857142858</v>
      </c>
      <c r="M310" s="132"/>
    </row>
    <row r="311" spans="1:13">
      <c r="A311" s="44"/>
      <c r="B311" s="47">
        <v>18</v>
      </c>
      <c r="C311" s="48" t="s">
        <v>43</v>
      </c>
      <c r="D311" s="34">
        <v>15000000</v>
      </c>
      <c r="E311" s="117">
        <v>0</v>
      </c>
      <c r="F311" s="132">
        <v>0</v>
      </c>
      <c r="G311" s="192">
        <f>1450000+375000</f>
        <v>1825000</v>
      </c>
      <c r="H311" s="299">
        <f t="shared" si="61"/>
        <v>12.166666666666668</v>
      </c>
      <c r="I311" s="192">
        <f t="shared" si="64"/>
        <v>1825000</v>
      </c>
      <c r="J311" s="301">
        <f t="shared" ref="J311:J312" si="66">I311/D311*100</f>
        <v>12.166666666666668</v>
      </c>
      <c r="K311" s="331">
        <f t="shared" si="65"/>
        <v>0.25</v>
      </c>
      <c r="L311" s="311">
        <f t="shared" si="63"/>
        <v>12.166666666666668</v>
      </c>
      <c r="M311" s="132"/>
    </row>
    <row r="312" spans="1:13" ht="15.75" thickBot="1">
      <c r="A312" s="44"/>
      <c r="B312" s="49">
        <v>19</v>
      </c>
      <c r="C312" s="50" t="s">
        <v>44</v>
      </c>
      <c r="D312" s="51">
        <v>51212000</v>
      </c>
      <c r="E312" s="298"/>
      <c r="F312" s="133">
        <v>0</v>
      </c>
      <c r="G312" s="192">
        <v>51000</v>
      </c>
      <c r="H312" s="300">
        <f t="shared" si="61"/>
        <v>9.9586034523158631E-2</v>
      </c>
      <c r="I312" s="192">
        <f t="shared" si="64"/>
        <v>51000</v>
      </c>
      <c r="J312" s="301">
        <f t="shared" si="66"/>
        <v>9.9586034523158631E-2</v>
      </c>
      <c r="K312" s="331">
        <f t="shared" si="65"/>
        <v>0.25</v>
      </c>
      <c r="L312" s="311">
        <f>J312</f>
        <v>9.9586034523158631E-2</v>
      </c>
      <c r="M312" s="133"/>
    </row>
    <row r="313" spans="1:13" ht="15.75" thickBot="1">
      <c r="A313" s="35"/>
      <c r="B313" s="52"/>
      <c r="C313" s="37" t="s">
        <v>45</v>
      </c>
      <c r="D313" s="53">
        <f>SUM(D298:D312)</f>
        <v>170212000</v>
      </c>
      <c r="E313" s="53">
        <f>SUM(E298:E312)</f>
        <v>0</v>
      </c>
      <c r="F313" s="53">
        <f t="shared" ref="F313" si="67">SUM(F298:F312)</f>
        <v>0</v>
      </c>
      <c r="G313" s="53">
        <f>SUM(G298:G312)</f>
        <v>20468513</v>
      </c>
      <c r="H313" s="214">
        <f>G313/D313*100</f>
        <v>12.025305501374756</v>
      </c>
      <c r="I313" s="194">
        <f t="shared" ref="I313" si="68">SUM(I298:I312)</f>
        <v>20468513</v>
      </c>
      <c r="J313" s="214">
        <f>I313/D313*100</f>
        <v>12.025305501374756</v>
      </c>
      <c r="K313" s="332">
        <f>3/12</f>
        <v>0.25</v>
      </c>
      <c r="L313" s="214">
        <f>J313</f>
        <v>12.025305501374756</v>
      </c>
      <c r="M313" s="53"/>
    </row>
    <row r="314" spans="1:13">
      <c r="A314" s="54" t="s">
        <v>29</v>
      </c>
      <c r="B314" s="55" t="s">
        <v>90</v>
      </c>
      <c r="C314" s="56"/>
      <c r="D314" s="57"/>
      <c r="E314" s="119"/>
      <c r="F314" s="131"/>
      <c r="G314" s="152"/>
      <c r="H314" s="152"/>
      <c r="I314" s="119"/>
      <c r="J314" s="152"/>
      <c r="K314" s="152"/>
      <c r="L314" s="152"/>
      <c r="M314" s="131"/>
    </row>
    <row r="315" spans="1:13">
      <c r="A315" s="279"/>
      <c r="B315" s="47" t="s">
        <v>53</v>
      </c>
      <c r="C315" s="46" t="s">
        <v>216</v>
      </c>
      <c r="D315" s="80">
        <v>40000000</v>
      </c>
      <c r="E315" s="119"/>
      <c r="F315" s="131"/>
      <c r="G315" s="152"/>
      <c r="H315" s="152"/>
      <c r="I315" s="119"/>
      <c r="J315" s="152"/>
      <c r="K315" s="331">
        <f t="shared" ref="K315" si="69">3/12</f>
        <v>0.25</v>
      </c>
      <c r="L315" s="152">
        <v>0</v>
      </c>
      <c r="M315" s="131"/>
    </row>
    <row r="316" spans="1:13">
      <c r="A316" s="44"/>
      <c r="B316" s="47" t="s">
        <v>46</v>
      </c>
      <c r="C316" s="58" t="s">
        <v>110</v>
      </c>
      <c r="D316" s="59">
        <v>20000000</v>
      </c>
      <c r="E316" s="120">
        <v>0</v>
      </c>
      <c r="F316" s="132">
        <v>0</v>
      </c>
      <c r="G316" s="119">
        <v>0</v>
      </c>
      <c r="H316" s="59" t="s">
        <v>132</v>
      </c>
      <c r="I316" s="119">
        <f>G316</f>
        <v>0</v>
      </c>
      <c r="J316" s="59" t="s">
        <v>132</v>
      </c>
      <c r="K316" s="152">
        <v>0</v>
      </c>
      <c r="L316" s="59">
        <v>0</v>
      </c>
      <c r="M316" s="132"/>
    </row>
    <row r="317" spans="1:13">
      <c r="A317" s="44"/>
      <c r="B317" s="47">
        <v>21</v>
      </c>
      <c r="C317" s="48" t="s">
        <v>47</v>
      </c>
      <c r="D317" s="59">
        <v>30000000</v>
      </c>
      <c r="E317" s="120">
        <v>0</v>
      </c>
      <c r="F317" s="132">
        <v>0</v>
      </c>
      <c r="G317" s="206">
        <v>0</v>
      </c>
      <c r="H317" s="59" t="s">
        <v>132</v>
      </c>
      <c r="I317" s="119">
        <f t="shared" ref="I317:I318" si="70">G317</f>
        <v>0</v>
      </c>
      <c r="J317" s="59" t="s">
        <v>132</v>
      </c>
      <c r="K317" s="59">
        <v>0</v>
      </c>
      <c r="L317" s="59">
        <v>0</v>
      </c>
      <c r="M317" s="132"/>
    </row>
    <row r="318" spans="1:13">
      <c r="A318" s="44"/>
      <c r="B318" s="47">
        <v>22</v>
      </c>
      <c r="C318" s="48" t="s">
        <v>48</v>
      </c>
      <c r="D318" s="60">
        <v>30000000</v>
      </c>
      <c r="E318" s="120">
        <v>0</v>
      </c>
      <c r="F318" s="132">
        <v>0</v>
      </c>
      <c r="G318" s="206">
        <v>0</v>
      </c>
      <c r="H318" s="299">
        <f t="shared" ref="H318:H321" si="71">G318/D318*100</f>
        <v>0</v>
      </c>
      <c r="I318" s="119">
        <f t="shared" si="70"/>
        <v>0</v>
      </c>
      <c r="J318" s="301">
        <f t="shared" ref="J318:J322" si="72">I318/D318*100</f>
        <v>0</v>
      </c>
      <c r="K318" s="59">
        <v>0</v>
      </c>
      <c r="L318" s="152">
        <f t="shared" ref="L318" si="73">I318</f>
        <v>0</v>
      </c>
      <c r="M318" s="154"/>
    </row>
    <row r="319" spans="1:13">
      <c r="A319" s="44"/>
      <c r="B319" s="47">
        <v>24</v>
      </c>
      <c r="C319" s="48" t="s">
        <v>49</v>
      </c>
      <c r="D319" s="60">
        <v>35000000</v>
      </c>
      <c r="E319" s="120">
        <v>0</v>
      </c>
      <c r="F319" s="132">
        <v>0</v>
      </c>
      <c r="G319" s="206">
        <v>6051250</v>
      </c>
      <c r="H319" s="299">
        <f t="shared" si="71"/>
        <v>17.289285714285715</v>
      </c>
      <c r="I319" s="192">
        <f>G319</f>
        <v>6051250</v>
      </c>
      <c r="J319" s="301">
        <f t="shared" si="72"/>
        <v>17.289285714285715</v>
      </c>
      <c r="K319" s="331">
        <f>3/12</f>
        <v>0.25</v>
      </c>
      <c r="L319" s="311">
        <f>J319</f>
        <v>17.289285714285715</v>
      </c>
      <c r="M319" s="132"/>
    </row>
    <row r="320" spans="1:13">
      <c r="A320" s="44"/>
      <c r="B320" s="47">
        <v>26</v>
      </c>
      <c r="C320" s="48" t="s">
        <v>50</v>
      </c>
      <c r="D320" s="60">
        <v>4000000</v>
      </c>
      <c r="E320" s="120">
        <v>0</v>
      </c>
      <c r="F320" s="132">
        <v>0</v>
      </c>
      <c r="G320" s="206">
        <v>1000000</v>
      </c>
      <c r="H320" s="299">
        <f t="shared" si="71"/>
        <v>25</v>
      </c>
      <c r="I320" s="192">
        <f t="shared" ref="I320:I322" si="74">G320</f>
        <v>1000000</v>
      </c>
      <c r="J320" s="301">
        <f t="shared" si="72"/>
        <v>25</v>
      </c>
      <c r="K320" s="331">
        <f t="shared" ref="K320:K322" si="75">3/12</f>
        <v>0.25</v>
      </c>
      <c r="L320" s="311">
        <f t="shared" ref="L320:L322" si="76">J320</f>
        <v>25</v>
      </c>
      <c r="M320" s="132"/>
    </row>
    <row r="321" spans="1:13">
      <c r="A321" s="44"/>
      <c r="B321" s="47">
        <v>28</v>
      </c>
      <c r="C321" s="48" t="s">
        <v>51</v>
      </c>
      <c r="D321" s="60">
        <v>12000000</v>
      </c>
      <c r="E321" s="120">
        <v>0</v>
      </c>
      <c r="F321" s="132">
        <v>0</v>
      </c>
      <c r="G321" s="206">
        <f>300000+300000+2250000</f>
        <v>2850000</v>
      </c>
      <c r="H321" s="299">
        <f t="shared" si="71"/>
        <v>23.75</v>
      </c>
      <c r="I321" s="192">
        <f t="shared" si="74"/>
        <v>2850000</v>
      </c>
      <c r="J321" s="301">
        <f t="shared" si="72"/>
        <v>23.75</v>
      </c>
      <c r="K321" s="331">
        <f t="shared" si="75"/>
        <v>0.25</v>
      </c>
      <c r="L321" s="311">
        <f t="shared" si="76"/>
        <v>23.75</v>
      </c>
      <c r="M321" s="132"/>
    </row>
    <row r="322" spans="1:13">
      <c r="A322" s="44"/>
      <c r="B322" s="61">
        <v>29</v>
      </c>
      <c r="C322" s="50" t="s">
        <v>52</v>
      </c>
      <c r="D322" s="62">
        <v>2000000</v>
      </c>
      <c r="E322" s="121">
        <v>0</v>
      </c>
      <c r="F322" s="133">
        <v>0</v>
      </c>
      <c r="G322" s="197">
        <f>200000+100000</f>
        <v>300000</v>
      </c>
      <c r="H322" s="312">
        <f>G322/D322*100</f>
        <v>15</v>
      </c>
      <c r="I322" s="313">
        <f t="shared" si="74"/>
        <v>300000</v>
      </c>
      <c r="J322" s="314">
        <f t="shared" si="72"/>
        <v>15</v>
      </c>
      <c r="K322" s="331">
        <f t="shared" si="75"/>
        <v>0.25</v>
      </c>
      <c r="L322" s="311">
        <f t="shared" si="76"/>
        <v>15</v>
      </c>
      <c r="M322" s="133"/>
    </row>
    <row r="323" spans="1:13">
      <c r="A323" s="63"/>
      <c r="B323" s="64"/>
      <c r="C323" s="65" t="s">
        <v>45</v>
      </c>
      <c r="D323" s="66">
        <f>SUM(D315:D322)</f>
        <v>173000000</v>
      </c>
      <c r="E323" s="122"/>
      <c r="F323" s="66"/>
      <c r="G323" s="285">
        <f>SUM(G315:G322)</f>
        <v>10201250</v>
      </c>
      <c r="H323" s="323">
        <f>G323/D323*100</f>
        <v>5.8966763005780347</v>
      </c>
      <c r="I323" s="286">
        <f>SUM(I315:I322)</f>
        <v>10201250</v>
      </c>
      <c r="J323" s="323">
        <f>I323/D323*100</f>
        <v>5.8966763005780347</v>
      </c>
      <c r="K323" s="333">
        <f>3/12</f>
        <v>0.25</v>
      </c>
      <c r="L323" s="302">
        <f>J323</f>
        <v>5.8966763005780347</v>
      </c>
      <c r="M323" s="66"/>
    </row>
    <row r="324" spans="1:13">
      <c r="A324" s="67" t="s">
        <v>53</v>
      </c>
      <c r="B324" s="68" t="s">
        <v>54</v>
      </c>
      <c r="C324" s="69"/>
      <c r="D324" s="70"/>
      <c r="E324" s="123"/>
      <c r="F324" s="134"/>
      <c r="G324" s="164"/>
      <c r="H324" s="148"/>
      <c r="I324" s="164"/>
      <c r="J324" s="152"/>
      <c r="K324" s="152"/>
      <c r="L324" s="156"/>
      <c r="M324" s="134"/>
    </row>
    <row r="325" spans="1:13">
      <c r="A325" s="44"/>
      <c r="B325" s="47" t="s">
        <v>26</v>
      </c>
      <c r="C325" s="48" t="s">
        <v>55</v>
      </c>
      <c r="D325" s="60">
        <v>25000000</v>
      </c>
      <c r="E325" s="120">
        <v>0</v>
      </c>
      <c r="F325" s="208">
        <v>0</v>
      </c>
      <c r="G325" s="197" t="s">
        <v>132</v>
      </c>
      <c r="H325" s="59" t="s">
        <v>132</v>
      </c>
      <c r="I325" s="197" t="s">
        <v>132</v>
      </c>
      <c r="J325" s="59" t="s">
        <v>132</v>
      </c>
      <c r="K325" s="59">
        <v>0</v>
      </c>
      <c r="L325" s="59">
        <v>0</v>
      </c>
      <c r="M325" s="132"/>
    </row>
    <row r="326" spans="1:13">
      <c r="A326" s="63"/>
      <c r="B326" s="71"/>
      <c r="C326" s="65" t="s">
        <v>45</v>
      </c>
      <c r="D326" s="66">
        <f>SUM(D325:D325)</f>
        <v>25000000</v>
      </c>
      <c r="E326" s="122">
        <f>SUM(E325:E325)</f>
        <v>0</v>
      </c>
      <c r="F326" s="202">
        <f>SUM(F325:F325)</f>
        <v>0</v>
      </c>
      <c r="G326" s="122" t="s">
        <v>132</v>
      </c>
      <c r="H326" s="66" t="s">
        <v>132</v>
      </c>
      <c r="I326" s="122" t="s">
        <v>132</v>
      </c>
      <c r="J326" s="155" t="s">
        <v>132</v>
      </c>
      <c r="K326" s="66">
        <f>SUM(K325:K325)</f>
        <v>0</v>
      </c>
      <c r="L326" s="66">
        <f>SUM(L325:L325)</f>
        <v>0</v>
      </c>
      <c r="M326" s="66"/>
    </row>
    <row r="327" spans="1:13">
      <c r="A327" s="44">
        <v>15</v>
      </c>
      <c r="B327" s="72" t="s">
        <v>61</v>
      </c>
      <c r="C327" s="73"/>
      <c r="D327" s="57"/>
      <c r="E327" s="119"/>
      <c r="F327" s="209"/>
      <c r="G327" s="119" t="s">
        <v>132</v>
      </c>
      <c r="H327" s="152" t="s">
        <v>132</v>
      </c>
      <c r="I327" s="119" t="s">
        <v>132</v>
      </c>
      <c r="J327" s="152" t="s">
        <v>132</v>
      </c>
      <c r="K327" s="152"/>
      <c r="L327" s="152"/>
      <c r="M327" s="131"/>
    </row>
    <row r="328" spans="1:13">
      <c r="A328" s="44"/>
      <c r="B328" s="47">
        <v>18</v>
      </c>
      <c r="C328" s="48" t="s">
        <v>62</v>
      </c>
      <c r="D328" s="60">
        <v>5000000</v>
      </c>
      <c r="E328" s="120">
        <v>0</v>
      </c>
      <c r="F328" s="208">
        <v>0</v>
      </c>
      <c r="G328" s="120" t="s">
        <v>132</v>
      </c>
      <c r="H328" s="59" t="s">
        <v>132</v>
      </c>
      <c r="I328" s="120" t="s">
        <v>132</v>
      </c>
      <c r="J328" s="59" t="s">
        <v>132</v>
      </c>
      <c r="K328" s="59">
        <v>0</v>
      </c>
      <c r="L328" s="59">
        <v>0</v>
      </c>
      <c r="M328" s="132"/>
    </row>
    <row r="329" spans="1:13" ht="25.5">
      <c r="A329" s="44"/>
      <c r="B329" s="49">
        <v>63</v>
      </c>
      <c r="C329" s="74" t="s">
        <v>63</v>
      </c>
      <c r="D329" s="62">
        <v>5000000</v>
      </c>
      <c r="E329" s="121">
        <v>0</v>
      </c>
      <c r="F329" s="210">
        <v>0</v>
      </c>
      <c r="G329" s="121" t="s">
        <v>132</v>
      </c>
      <c r="H329" s="153" t="s">
        <v>132</v>
      </c>
      <c r="I329" s="121" t="s">
        <v>132</v>
      </c>
      <c r="J329" s="153" t="s">
        <v>132</v>
      </c>
      <c r="K329" s="59">
        <v>0</v>
      </c>
      <c r="L329" s="153">
        <v>0</v>
      </c>
      <c r="M329" s="133"/>
    </row>
    <row r="330" spans="1:13">
      <c r="A330" s="63"/>
      <c r="B330" s="64"/>
      <c r="C330" s="65" t="s">
        <v>45</v>
      </c>
      <c r="D330" s="66">
        <f>SUM(D328:D329)</f>
        <v>10000000</v>
      </c>
      <c r="E330" s="122">
        <f t="shared" ref="E330" si="77">SUM(E328:E329)</f>
        <v>0</v>
      </c>
      <c r="F330" s="202">
        <f>SUM(F328:F329)</f>
        <v>0</v>
      </c>
      <c r="G330" s="195" t="s">
        <v>132</v>
      </c>
      <c r="H330" s="66" t="s">
        <v>132</v>
      </c>
      <c r="I330" s="195" t="s">
        <v>132</v>
      </c>
      <c r="J330" s="155" t="s">
        <v>132</v>
      </c>
      <c r="K330" s="66">
        <f t="shared" ref="K330:L330" si="78">SUM(K328:K329)</f>
        <v>0</v>
      </c>
      <c r="L330" s="66">
        <f t="shared" si="78"/>
        <v>0</v>
      </c>
      <c r="M330" s="66"/>
    </row>
    <row r="331" spans="1:13">
      <c r="A331" s="44">
        <v>30</v>
      </c>
      <c r="B331" s="77" t="s">
        <v>64</v>
      </c>
      <c r="C331" s="78"/>
      <c r="D331" s="57"/>
      <c r="E331" s="119"/>
      <c r="F331" s="209"/>
      <c r="G331" s="119"/>
      <c r="H331" s="152"/>
      <c r="I331" s="119"/>
      <c r="J331" s="152"/>
      <c r="K331" s="152"/>
      <c r="L331" s="152"/>
      <c r="M331" s="131"/>
    </row>
    <row r="332" spans="1:13">
      <c r="A332" s="44"/>
      <c r="B332" s="45">
        <v>2</v>
      </c>
      <c r="C332" s="79" t="s">
        <v>102</v>
      </c>
      <c r="D332" s="80">
        <v>200000000</v>
      </c>
      <c r="E332" s="124">
        <v>0</v>
      </c>
      <c r="F332" s="209">
        <v>0</v>
      </c>
      <c r="G332" s="124">
        <v>0</v>
      </c>
      <c r="H332" s="152">
        <v>0</v>
      </c>
      <c r="I332" s="120" t="s">
        <v>132</v>
      </c>
      <c r="J332" s="152" t="s">
        <v>132</v>
      </c>
      <c r="K332" s="59">
        <v>0</v>
      </c>
      <c r="L332" s="152"/>
      <c r="M332" s="131"/>
    </row>
    <row r="333" spans="1:13">
      <c r="A333" s="63"/>
      <c r="B333" s="64"/>
      <c r="C333" s="65" t="s">
        <v>45</v>
      </c>
      <c r="D333" s="66">
        <f>SUM(D331:D332)</f>
        <v>200000000</v>
      </c>
      <c r="E333" s="66">
        <f>SUM(E331:E332)</f>
        <v>0</v>
      </c>
      <c r="F333" s="202">
        <f>SUM(F331:F332)</f>
        <v>0</v>
      </c>
      <c r="G333" s="122" t="s">
        <v>132</v>
      </c>
      <c r="H333" s="66" t="s">
        <v>132</v>
      </c>
      <c r="I333" s="122" t="s">
        <v>132</v>
      </c>
      <c r="J333" s="66" t="s">
        <v>132</v>
      </c>
      <c r="K333" s="66">
        <f>SUM(K331:K332)</f>
        <v>0</v>
      </c>
      <c r="L333" s="66">
        <f t="shared" ref="L333" si="79">SUM(L331:L332)</f>
        <v>0</v>
      </c>
      <c r="M333" s="66"/>
    </row>
    <row r="334" spans="1:13">
      <c r="A334" s="44">
        <v>21</v>
      </c>
      <c r="B334" s="81" t="s">
        <v>65</v>
      </c>
      <c r="C334" s="82"/>
      <c r="D334" s="57"/>
      <c r="E334" s="119"/>
      <c r="F334" s="209"/>
      <c r="G334" s="119"/>
      <c r="H334" s="152"/>
      <c r="I334" s="119"/>
      <c r="J334" s="152"/>
      <c r="K334" s="152"/>
      <c r="L334" s="152"/>
      <c r="M334" s="131"/>
    </row>
    <row r="335" spans="1:13">
      <c r="A335" s="44"/>
      <c r="B335" s="47" t="s">
        <v>46</v>
      </c>
      <c r="C335" s="48" t="s">
        <v>66</v>
      </c>
      <c r="D335" s="60">
        <v>20000000</v>
      </c>
      <c r="E335" s="125">
        <v>0</v>
      </c>
      <c r="F335" s="211">
        <v>0</v>
      </c>
      <c r="G335" s="199" t="s">
        <v>132</v>
      </c>
      <c r="H335" s="59" t="s">
        <v>132</v>
      </c>
      <c r="I335" s="197" t="s">
        <v>132</v>
      </c>
      <c r="J335" s="59" t="s">
        <v>132</v>
      </c>
      <c r="K335" s="59">
        <v>0</v>
      </c>
      <c r="L335" s="59">
        <v>0</v>
      </c>
      <c r="M335" s="132"/>
    </row>
    <row r="336" spans="1:13">
      <c r="A336" s="63"/>
      <c r="B336" s="83"/>
      <c r="C336" s="65" t="s">
        <v>45</v>
      </c>
      <c r="D336" s="66">
        <f>SUM(D335:D335)</f>
        <v>20000000</v>
      </c>
      <c r="E336" s="66">
        <f t="shared" ref="E336:F336" si="80">SUM(E333:E335)</f>
        <v>0</v>
      </c>
      <c r="F336" s="202">
        <f t="shared" si="80"/>
        <v>0</v>
      </c>
      <c r="G336" s="122" t="s">
        <v>132</v>
      </c>
      <c r="H336" s="66" t="s">
        <v>132</v>
      </c>
      <c r="I336" s="122" t="s">
        <v>132</v>
      </c>
      <c r="J336" s="66" t="s">
        <v>132</v>
      </c>
      <c r="K336" s="66">
        <f>SUM(K335)</f>
        <v>0</v>
      </c>
      <c r="L336" s="66">
        <f t="shared" ref="L336" si="81">SUM(L333:L335)</f>
        <v>0</v>
      </c>
      <c r="M336" s="66"/>
    </row>
    <row r="337" spans="1:13">
      <c r="A337" s="84">
        <v>18</v>
      </c>
      <c r="B337" s="826" t="s">
        <v>96</v>
      </c>
      <c r="C337" s="827"/>
      <c r="D337" s="57"/>
      <c r="E337" s="119"/>
      <c r="F337" s="209"/>
      <c r="G337" s="119"/>
      <c r="H337" s="152"/>
      <c r="I337" s="119"/>
      <c r="J337" s="152"/>
      <c r="K337" s="152"/>
      <c r="L337" s="152"/>
      <c r="M337" s="131"/>
    </row>
    <row r="338" spans="1:13">
      <c r="A338" s="84"/>
      <c r="B338" s="830" t="s">
        <v>95</v>
      </c>
      <c r="C338" s="831"/>
      <c r="D338" s="57"/>
      <c r="E338" s="124"/>
      <c r="F338" s="209"/>
      <c r="G338" s="119"/>
      <c r="H338" s="152"/>
      <c r="I338" s="119"/>
      <c r="J338" s="152"/>
      <c r="K338" s="152"/>
      <c r="L338" s="152"/>
      <c r="M338" s="131"/>
    </row>
    <row r="339" spans="1:13">
      <c r="A339" s="44"/>
      <c r="B339" s="47" t="s">
        <v>26</v>
      </c>
      <c r="C339" s="48" t="s">
        <v>67</v>
      </c>
      <c r="D339" s="60">
        <v>20000000</v>
      </c>
      <c r="E339" s="125">
        <v>0</v>
      </c>
      <c r="F339" s="211">
        <v>0</v>
      </c>
      <c r="G339" s="199" t="s">
        <v>132</v>
      </c>
      <c r="H339" s="59" t="s">
        <v>132</v>
      </c>
      <c r="I339" s="119" t="str">
        <f t="shared" ref="I339" si="82">G339</f>
        <v>-</v>
      </c>
      <c r="J339" s="59" t="s">
        <v>132</v>
      </c>
      <c r="K339" s="59">
        <v>0</v>
      </c>
      <c r="L339" s="59">
        <v>0</v>
      </c>
      <c r="M339" s="132"/>
    </row>
    <row r="340" spans="1:13">
      <c r="A340" s="44"/>
      <c r="B340" s="47" t="s">
        <v>29</v>
      </c>
      <c r="C340" s="204" t="s">
        <v>220</v>
      </c>
      <c r="D340" s="179">
        <v>7000000</v>
      </c>
      <c r="E340" s="180">
        <v>0</v>
      </c>
      <c r="F340" s="181">
        <v>0</v>
      </c>
      <c r="G340" s="207" t="s">
        <v>132</v>
      </c>
      <c r="H340" s="148" t="s">
        <v>132</v>
      </c>
      <c r="I340" s="119" t="s">
        <v>132</v>
      </c>
      <c r="J340" s="148" t="s">
        <v>132</v>
      </c>
      <c r="K340" s="59">
        <v>0</v>
      </c>
      <c r="L340" s="148">
        <v>0</v>
      </c>
      <c r="M340" s="165"/>
    </row>
    <row r="341" spans="1:13">
      <c r="A341" s="44"/>
      <c r="B341" s="47"/>
      <c r="C341" s="48" t="s">
        <v>117</v>
      </c>
      <c r="D341" s="60"/>
      <c r="E341" s="125"/>
      <c r="F341" s="135"/>
      <c r="G341" s="199"/>
      <c r="H341" s="59"/>
      <c r="I341" s="197"/>
      <c r="J341" s="59"/>
      <c r="K341" s="59"/>
      <c r="L341" s="59"/>
      <c r="M341" s="132"/>
    </row>
    <row r="342" spans="1:13">
      <c r="A342" s="63"/>
      <c r="B342" s="71"/>
      <c r="C342" s="65" t="s">
        <v>45</v>
      </c>
      <c r="D342" s="66">
        <f>SUM(D339:D341)</f>
        <v>27000000</v>
      </c>
      <c r="E342" s="66">
        <f t="shared" ref="E342" si="83">SUM(E339:E339)</f>
        <v>0</v>
      </c>
      <c r="F342" s="66">
        <f>SUM(F339:F339)</f>
        <v>0</v>
      </c>
      <c r="G342" s="122" t="s">
        <v>132</v>
      </c>
      <c r="H342" s="66" t="s">
        <v>132</v>
      </c>
      <c r="I342" s="122" t="s">
        <v>132</v>
      </c>
      <c r="J342" s="66" t="s">
        <v>132</v>
      </c>
      <c r="K342" s="66">
        <f>SUM(K339:K341)</f>
        <v>0</v>
      </c>
      <c r="L342" s="66">
        <f t="shared" ref="L342" si="84">SUM(L339:L339)</f>
        <v>0</v>
      </c>
      <c r="M342" s="66"/>
    </row>
    <row r="343" spans="1:13">
      <c r="A343" s="84">
        <v>17</v>
      </c>
      <c r="B343" s="826" t="s">
        <v>130</v>
      </c>
      <c r="C343" s="827"/>
      <c r="D343" s="57"/>
      <c r="E343" s="119"/>
      <c r="F343" s="131"/>
      <c r="G343" s="119"/>
      <c r="H343" s="152"/>
      <c r="I343" s="119"/>
      <c r="J343" s="152"/>
      <c r="K343" s="152"/>
      <c r="L343" s="152"/>
      <c r="M343" s="131"/>
    </row>
    <row r="344" spans="1:13">
      <c r="A344" s="44"/>
      <c r="B344" s="47" t="s">
        <v>53</v>
      </c>
      <c r="C344" s="48" t="s">
        <v>131</v>
      </c>
      <c r="D344" s="60">
        <v>24000000</v>
      </c>
      <c r="E344" s="125">
        <v>0</v>
      </c>
      <c r="F344" s="135">
        <v>0</v>
      </c>
      <c r="G344" s="197" t="s">
        <v>132</v>
      </c>
      <c r="H344" s="59" t="s">
        <v>132</v>
      </c>
      <c r="I344" s="197" t="s">
        <v>132</v>
      </c>
      <c r="J344" s="59" t="s">
        <v>132</v>
      </c>
      <c r="K344" s="59">
        <v>0</v>
      </c>
      <c r="L344" s="59">
        <v>0</v>
      </c>
      <c r="M344" s="132"/>
    </row>
    <row r="345" spans="1:13">
      <c r="A345" s="63"/>
      <c r="B345" s="64"/>
      <c r="C345" s="65" t="s">
        <v>45</v>
      </c>
      <c r="D345" s="66">
        <f>SUM(D344:D344)</f>
        <v>24000000</v>
      </c>
      <c r="E345" s="66">
        <f t="shared" ref="E345:F345" si="85">SUM(E343:E344)</f>
        <v>0</v>
      </c>
      <c r="F345" s="66">
        <f t="shared" si="85"/>
        <v>0</v>
      </c>
      <c r="G345" s="122" t="s">
        <v>132</v>
      </c>
      <c r="H345" s="66" t="s">
        <v>132</v>
      </c>
      <c r="I345" s="122" t="s">
        <v>132</v>
      </c>
      <c r="J345" s="66" t="s">
        <v>132</v>
      </c>
      <c r="K345" s="66">
        <f t="shared" ref="K345:L345" si="86">SUM(K343:K344)</f>
        <v>0</v>
      </c>
      <c r="L345" s="66">
        <f t="shared" si="86"/>
        <v>0</v>
      </c>
      <c r="M345" s="66"/>
    </row>
    <row r="346" spans="1:13">
      <c r="A346" s="44">
        <v>15</v>
      </c>
      <c r="B346" s="542" t="s">
        <v>68</v>
      </c>
      <c r="C346" s="86"/>
      <c r="D346" s="57"/>
      <c r="E346" s="119"/>
      <c r="F346" s="131"/>
      <c r="G346" s="119"/>
      <c r="H346" s="152"/>
      <c r="I346" s="119"/>
      <c r="J346" s="152"/>
      <c r="K346" s="152"/>
      <c r="L346" s="152"/>
      <c r="M346" s="131"/>
    </row>
    <row r="347" spans="1:13" ht="26.25">
      <c r="A347" s="44"/>
      <c r="B347" s="49" t="s">
        <v>80</v>
      </c>
      <c r="C347" s="50" t="s">
        <v>118</v>
      </c>
      <c r="D347" s="62">
        <v>10000000</v>
      </c>
      <c r="E347" s="125">
        <v>0</v>
      </c>
      <c r="F347" s="135">
        <v>0</v>
      </c>
      <c r="G347" s="119" t="s">
        <v>132</v>
      </c>
      <c r="H347" s="59" t="s">
        <v>132</v>
      </c>
      <c r="I347" s="119" t="s">
        <v>132</v>
      </c>
      <c r="J347" s="59" t="s">
        <v>132</v>
      </c>
      <c r="K347" s="59">
        <v>0</v>
      </c>
      <c r="L347" s="59">
        <v>0</v>
      </c>
      <c r="M347" s="132"/>
    </row>
    <row r="348" spans="1:13">
      <c r="A348" s="44"/>
      <c r="B348" s="49" t="s">
        <v>69</v>
      </c>
      <c r="C348" s="50" t="s">
        <v>70</v>
      </c>
      <c r="D348" s="62">
        <v>60000000</v>
      </c>
      <c r="E348" s="125">
        <v>0</v>
      </c>
      <c r="F348" s="135">
        <v>0</v>
      </c>
      <c r="G348" s="197" t="s">
        <v>132</v>
      </c>
      <c r="H348" s="59" t="s">
        <v>132</v>
      </c>
      <c r="I348" s="119" t="s">
        <v>132</v>
      </c>
      <c r="J348" s="59" t="s">
        <v>132</v>
      </c>
      <c r="K348" s="59">
        <v>0</v>
      </c>
      <c r="L348" s="59">
        <v>0</v>
      </c>
      <c r="M348" s="132"/>
    </row>
    <row r="349" spans="1:13">
      <c r="A349" s="63"/>
      <c r="B349" s="64"/>
      <c r="C349" s="65" t="s">
        <v>45</v>
      </c>
      <c r="D349" s="66">
        <f>SUM(D347:D348)</f>
        <v>70000000</v>
      </c>
      <c r="E349" s="66">
        <f>SUM(E345:E348)</f>
        <v>0</v>
      </c>
      <c r="F349" s="66">
        <f>SUM(F345:F348)</f>
        <v>0</v>
      </c>
      <c r="G349" s="122" t="s">
        <v>132</v>
      </c>
      <c r="H349" s="66" t="s">
        <v>132</v>
      </c>
      <c r="I349" s="122" t="s">
        <v>132</v>
      </c>
      <c r="J349" s="66" t="s">
        <v>132</v>
      </c>
      <c r="K349" s="66">
        <f>SUM(K347:K348)</f>
        <v>0</v>
      </c>
      <c r="L349" s="66">
        <f>SUM(L345:L348)</f>
        <v>0</v>
      </c>
      <c r="M349" s="66"/>
    </row>
    <row r="350" spans="1:13">
      <c r="A350" s="44">
        <v>16</v>
      </c>
      <c r="B350" s="81" t="s">
        <v>71</v>
      </c>
      <c r="C350" s="82"/>
      <c r="D350" s="57"/>
      <c r="E350" s="119"/>
      <c r="F350" s="131"/>
      <c r="G350" s="119"/>
      <c r="H350" s="152"/>
      <c r="I350" s="119"/>
      <c r="J350" s="152"/>
      <c r="K350" s="152"/>
      <c r="L350" s="152"/>
      <c r="M350" s="131"/>
    </row>
    <row r="351" spans="1:13">
      <c r="A351" s="44"/>
      <c r="B351" s="47" t="s">
        <v>72</v>
      </c>
      <c r="C351" s="48" t="s">
        <v>73</v>
      </c>
      <c r="D351" s="60">
        <v>5000000</v>
      </c>
      <c r="E351" s="120">
        <v>0</v>
      </c>
      <c r="F351" s="132">
        <v>0</v>
      </c>
      <c r="G351" s="120">
        <v>5000000</v>
      </c>
      <c r="H351" s="91">
        <f>G351/D351*100</f>
        <v>100</v>
      </c>
      <c r="I351" s="313">
        <f t="shared" ref="I351:I352" si="87">G351</f>
        <v>5000000</v>
      </c>
      <c r="J351" s="157">
        <f t="shared" ref="J351:J352" si="88">I351/D351*100</f>
        <v>100</v>
      </c>
      <c r="K351" s="331">
        <f>3/12</f>
        <v>0.25</v>
      </c>
      <c r="L351" s="152">
        <f>J351</f>
        <v>100</v>
      </c>
      <c r="M351" s="132"/>
    </row>
    <row r="352" spans="1:13">
      <c r="A352" s="63"/>
      <c r="B352" s="83"/>
      <c r="C352" s="65" t="s">
        <v>45</v>
      </c>
      <c r="D352" s="66">
        <f>SUM(D351:D351)</f>
        <v>5000000</v>
      </c>
      <c r="E352" s="122">
        <f>SUM(E351:E351)</f>
        <v>0</v>
      </c>
      <c r="F352" s="66">
        <f>SUM(F351:F351)</f>
        <v>0</v>
      </c>
      <c r="G352" s="195">
        <f>G351</f>
        <v>5000000</v>
      </c>
      <c r="H352" s="80">
        <f>G352/D352*100</f>
        <v>100</v>
      </c>
      <c r="I352" s="192">
        <f t="shared" si="87"/>
        <v>5000000</v>
      </c>
      <c r="J352" s="152">
        <f t="shared" si="88"/>
        <v>100</v>
      </c>
      <c r="K352" s="333">
        <f>SUM(K351)</f>
        <v>0.25</v>
      </c>
      <c r="L352" s="66">
        <f>SUM(L351)</f>
        <v>100</v>
      </c>
      <c r="M352" s="66"/>
    </row>
    <row r="353" spans="1:14">
      <c r="A353" s="87" t="s">
        <v>69</v>
      </c>
      <c r="B353" s="826" t="s">
        <v>89</v>
      </c>
      <c r="C353" s="827"/>
      <c r="D353" s="70"/>
      <c r="E353" s="123"/>
      <c r="F353" s="134"/>
      <c r="G353" s="123"/>
      <c r="H353" s="156"/>
      <c r="I353" s="123"/>
      <c r="J353" s="156"/>
      <c r="K353" s="156"/>
      <c r="L353" s="156"/>
      <c r="M353" s="134"/>
    </row>
    <row r="354" spans="1:14">
      <c r="A354" s="88"/>
      <c r="B354" s="830" t="s">
        <v>88</v>
      </c>
      <c r="C354" s="831"/>
      <c r="D354" s="57"/>
      <c r="E354" s="119"/>
      <c r="F354" s="131"/>
      <c r="G354" s="119"/>
      <c r="H354" s="152"/>
      <c r="I354" s="119"/>
      <c r="J354" s="152"/>
      <c r="K354" s="152"/>
      <c r="L354" s="152"/>
      <c r="M354" s="131"/>
    </row>
    <row r="355" spans="1:14">
      <c r="A355" s="89"/>
      <c r="B355" s="61" t="s">
        <v>26</v>
      </c>
      <c r="C355" s="90" t="s">
        <v>74</v>
      </c>
      <c r="D355" s="91">
        <v>15000000</v>
      </c>
      <c r="E355" s="126">
        <v>0</v>
      </c>
      <c r="F355" s="136">
        <v>0</v>
      </c>
      <c r="G355" s="126">
        <v>15000000</v>
      </c>
      <c r="H355" s="91">
        <f>G355/D355*100</f>
        <v>100</v>
      </c>
      <c r="I355" s="313">
        <f t="shared" ref="I355:I356" si="89">G355</f>
        <v>15000000</v>
      </c>
      <c r="J355" s="157">
        <f t="shared" ref="J355:J356" si="90">I355/D355*100</f>
        <v>100</v>
      </c>
      <c r="K355" s="331">
        <f>3/12</f>
        <v>0.25</v>
      </c>
      <c r="L355" s="152">
        <f>J355</f>
        <v>100</v>
      </c>
      <c r="M355" s="136"/>
    </row>
    <row r="356" spans="1:14">
      <c r="A356" s="63"/>
      <c r="B356" s="83"/>
      <c r="C356" s="65" t="s">
        <v>45</v>
      </c>
      <c r="D356" s="66">
        <f>SUM(D355:D355)</f>
        <v>15000000</v>
      </c>
      <c r="E356" s="122">
        <f>SUM(E355:E355)</f>
        <v>0</v>
      </c>
      <c r="F356" s="66">
        <f>SUM(F355:F355)</f>
        <v>0</v>
      </c>
      <c r="G356" s="126">
        <v>15000000</v>
      </c>
      <c r="H356" s="288">
        <f>G356/D356*100</f>
        <v>100</v>
      </c>
      <c r="I356" s="315">
        <f t="shared" si="89"/>
        <v>15000000</v>
      </c>
      <c r="J356" s="212">
        <f t="shared" si="90"/>
        <v>100</v>
      </c>
      <c r="K356" s="333">
        <f>SUM(K355)</f>
        <v>0.25</v>
      </c>
      <c r="L356" s="66">
        <f>SUM(L355)</f>
        <v>100</v>
      </c>
      <c r="M356" s="66"/>
    </row>
    <row r="357" spans="1:14">
      <c r="A357" s="88"/>
      <c r="B357" s="826" t="s">
        <v>94</v>
      </c>
      <c r="C357" s="827"/>
      <c r="D357" s="57"/>
      <c r="E357" s="119"/>
      <c r="F357" s="131"/>
      <c r="G357" s="119"/>
      <c r="H357" s="152"/>
      <c r="I357" s="119"/>
      <c r="J357" s="152"/>
      <c r="K357" s="152"/>
      <c r="L357" s="152"/>
      <c r="M357" s="131"/>
    </row>
    <row r="358" spans="1:14">
      <c r="A358" s="84"/>
      <c r="B358" s="92" t="s">
        <v>26</v>
      </c>
      <c r="C358" s="48" t="s">
        <v>134</v>
      </c>
      <c r="D358" s="60">
        <v>4000000</v>
      </c>
      <c r="E358" s="125">
        <v>0</v>
      </c>
      <c r="F358" s="135">
        <v>0</v>
      </c>
      <c r="G358" s="197" t="s">
        <v>132</v>
      </c>
      <c r="H358" s="59" t="s">
        <v>132</v>
      </c>
      <c r="I358" s="197" t="s">
        <v>132</v>
      </c>
      <c r="J358" s="59" t="s">
        <v>132</v>
      </c>
      <c r="K358" s="59">
        <v>0</v>
      </c>
      <c r="L358" s="59">
        <v>0</v>
      </c>
      <c r="M358" s="132"/>
    </row>
    <row r="359" spans="1:14">
      <c r="A359" s="93"/>
      <c r="B359" s="64"/>
      <c r="C359" s="65" t="s">
        <v>45</v>
      </c>
      <c r="D359" s="66">
        <f>SUM(D358:D358)</f>
        <v>4000000</v>
      </c>
      <c r="E359" s="66">
        <f t="shared" ref="E359:F359" si="91">SUM(E353:E358)</f>
        <v>0</v>
      </c>
      <c r="F359" s="66">
        <f t="shared" si="91"/>
        <v>0</v>
      </c>
      <c r="G359" s="122" t="s">
        <v>132</v>
      </c>
      <c r="H359" s="66" t="s">
        <v>132</v>
      </c>
      <c r="I359" s="122" t="s">
        <v>132</v>
      </c>
      <c r="J359" s="66" t="s">
        <v>132</v>
      </c>
      <c r="K359" s="66">
        <f>SUM(K358)</f>
        <v>0</v>
      </c>
      <c r="L359" s="66">
        <v>0</v>
      </c>
      <c r="M359" s="66"/>
    </row>
    <row r="360" spans="1:14">
      <c r="A360" s="84">
        <v>16</v>
      </c>
      <c r="B360" s="826" t="s">
        <v>75</v>
      </c>
      <c r="C360" s="827"/>
      <c r="D360" s="57"/>
      <c r="E360" s="119"/>
      <c r="F360" s="131"/>
      <c r="G360" s="119"/>
      <c r="H360" s="156"/>
      <c r="I360" s="123"/>
      <c r="J360" s="152"/>
      <c r="K360" s="152"/>
      <c r="L360" s="152"/>
      <c r="M360" s="131"/>
    </row>
    <row r="361" spans="1:14">
      <c r="A361" s="84"/>
      <c r="B361" s="94" t="s">
        <v>72</v>
      </c>
      <c r="C361" s="95" t="s">
        <v>103</v>
      </c>
      <c r="D361" s="80">
        <v>10000000</v>
      </c>
      <c r="E361" s="124"/>
      <c r="F361" s="131"/>
      <c r="G361" s="218">
        <v>3000000</v>
      </c>
      <c r="H361" s="312">
        <f>G361/D361*100</f>
        <v>30</v>
      </c>
      <c r="I361" s="313">
        <f t="shared" ref="I361" si="92">G361</f>
        <v>3000000</v>
      </c>
      <c r="J361" s="314">
        <f t="shared" ref="J361" si="93">I361/D361*100</f>
        <v>30</v>
      </c>
      <c r="K361" s="331">
        <f>3/12</f>
        <v>0.25</v>
      </c>
      <c r="L361" s="311">
        <f>J361</f>
        <v>30</v>
      </c>
      <c r="M361" s="131"/>
    </row>
    <row r="362" spans="1:14">
      <c r="A362" s="93"/>
      <c r="B362" s="83"/>
      <c r="C362" s="65" t="s">
        <v>45</v>
      </c>
      <c r="D362" s="66">
        <f>SUM(D361)</f>
        <v>10000000</v>
      </c>
      <c r="E362" s="66">
        <f t="shared" ref="E362:F362" si="94">SUM(E360:E361)</f>
        <v>0</v>
      </c>
      <c r="F362" s="66">
        <f t="shared" si="94"/>
        <v>0</v>
      </c>
      <c r="G362" s="122">
        <f t="shared" ref="G362:K362" si="95">SUM(G361)</f>
        <v>3000000</v>
      </c>
      <c r="H362" s="302">
        <f t="shared" si="95"/>
        <v>30</v>
      </c>
      <c r="I362" s="122">
        <f t="shared" si="95"/>
        <v>3000000</v>
      </c>
      <c r="J362" s="302">
        <f t="shared" si="95"/>
        <v>30</v>
      </c>
      <c r="K362" s="333">
        <f t="shared" si="95"/>
        <v>0.25</v>
      </c>
      <c r="L362" s="302">
        <f>SUM(L361)</f>
        <v>30</v>
      </c>
      <c r="M362" s="66"/>
    </row>
    <row r="363" spans="1:14">
      <c r="A363" s="84">
        <v>22</v>
      </c>
      <c r="B363" s="826" t="s">
        <v>87</v>
      </c>
      <c r="C363" s="827"/>
      <c r="D363" s="57"/>
      <c r="E363" s="119"/>
      <c r="F363" s="131"/>
      <c r="G363" s="119"/>
      <c r="H363" s="152"/>
      <c r="I363" s="119"/>
      <c r="J363" s="152"/>
      <c r="K363" s="152"/>
      <c r="L363" s="152"/>
      <c r="M363" s="131"/>
    </row>
    <row r="364" spans="1:14" ht="25.5">
      <c r="A364" s="84"/>
      <c r="B364" s="47" t="s">
        <v>26</v>
      </c>
      <c r="C364" s="95" t="s">
        <v>76</v>
      </c>
      <c r="D364" s="60">
        <v>3500000</v>
      </c>
      <c r="E364" s="125">
        <v>0</v>
      </c>
      <c r="F364" s="135">
        <v>0</v>
      </c>
      <c r="G364" s="197">
        <v>875000</v>
      </c>
      <c r="H364" s="312">
        <f>G364/D364*100</f>
        <v>25</v>
      </c>
      <c r="I364" s="197">
        <f>G364</f>
        <v>875000</v>
      </c>
      <c r="J364" s="314">
        <f t="shared" ref="J364:J365" si="96">I364/D364*100</f>
        <v>25</v>
      </c>
      <c r="K364" s="331">
        <f>3/12</f>
        <v>0.25</v>
      </c>
      <c r="L364" s="311">
        <f>J364</f>
        <v>25</v>
      </c>
      <c r="M364" s="132"/>
    </row>
    <row r="365" spans="1:14">
      <c r="A365" s="63"/>
      <c r="B365" s="83"/>
      <c r="C365" s="65" t="s">
        <v>45</v>
      </c>
      <c r="D365" s="66">
        <f>SUM(D364:D364)</f>
        <v>3500000</v>
      </c>
      <c r="E365" s="66">
        <f t="shared" ref="E365:F365" si="97">SUM(E362:E364)</f>
        <v>0</v>
      </c>
      <c r="F365" s="66">
        <f t="shared" si="97"/>
        <v>0</v>
      </c>
      <c r="G365" s="122">
        <f>SUM(G364)</f>
        <v>875000</v>
      </c>
      <c r="H365" s="312">
        <f>G365/D365*100</f>
        <v>25</v>
      </c>
      <c r="I365" s="122">
        <f>SUM(I364)</f>
        <v>875000</v>
      </c>
      <c r="J365" s="314">
        <f t="shared" si="96"/>
        <v>25</v>
      </c>
      <c r="K365" s="333">
        <f>SUM(K364)</f>
        <v>0.25</v>
      </c>
      <c r="L365" s="302">
        <f>SUM(L364)</f>
        <v>25</v>
      </c>
      <c r="M365" s="66"/>
    </row>
    <row r="366" spans="1:14">
      <c r="A366" s="44">
        <v>17</v>
      </c>
      <c r="B366" s="822" t="s">
        <v>56</v>
      </c>
      <c r="C366" s="823"/>
      <c r="D366" s="57"/>
      <c r="E366" s="119"/>
      <c r="F366" s="131"/>
      <c r="G366" s="119"/>
      <c r="H366" s="152"/>
      <c r="I366" s="119"/>
      <c r="J366" s="152"/>
      <c r="K366" s="152"/>
      <c r="L366" s="152"/>
      <c r="M366" s="131"/>
    </row>
    <row r="367" spans="1:14">
      <c r="A367" s="44"/>
      <c r="B367" s="47">
        <v>19</v>
      </c>
      <c r="C367" s="824" t="s">
        <v>91</v>
      </c>
      <c r="E367" s="120"/>
      <c r="F367" s="132"/>
      <c r="G367" s="119"/>
      <c r="H367" s="59"/>
      <c r="I367" s="119"/>
      <c r="J367" s="59"/>
      <c r="K367" s="59"/>
      <c r="L367" s="59"/>
      <c r="M367" s="132"/>
    </row>
    <row r="368" spans="1:14">
      <c r="A368" s="44"/>
      <c r="B368" s="163"/>
      <c r="C368" s="825"/>
      <c r="D368" s="60">
        <v>25000000</v>
      </c>
      <c r="E368" s="164">
        <v>0</v>
      </c>
      <c r="F368" s="165">
        <v>0</v>
      </c>
      <c r="G368" s="330">
        <f>2400000+1600000+ 90000</f>
        <v>4090000</v>
      </c>
      <c r="H368" s="312">
        <f>G368/D368*100</f>
        <v>16.36</v>
      </c>
      <c r="I368" s="197">
        <f>G368</f>
        <v>4090000</v>
      </c>
      <c r="J368" s="314">
        <f t="shared" ref="J368" si="98">I368/D368*100</f>
        <v>16.36</v>
      </c>
      <c r="K368" s="331">
        <f>3/12</f>
        <v>0.25</v>
      </c>
      <c r="L368" s="314">
        <f>J368</f>
        <v>16.36</v>
      </c>
      <c r="M368" s="165"/>
      <c r="N368" s="161">
        <v>1890000</v>
      </c>
    </row>
    <row r="369" spans="1:16">
      <c r="A369" s="63"/>
      <c r="B369" s="96"/>
      <c r="C369" s="65" t="s">
        <v>45</v>
      </c>
      <c r="D369" s="66">
        <f>SUM(D368:D368)</f>
        <v>25000000</v>
      </c>
      <c r="E369" s="122">
        <f>SUM(E367:E367)</f>
        <v>0</v>
      </c>
      <c r="F369" s="137">
        <f>SUM(F367:F367)</f>
        <v>0</v>
      </c>
      <c r="G369" s="122">
        <f t="shared" ref="G369:L369" si="99">SUM(G368)</f>
        <v>4090000</v>
      </c>
      <c r="H369" s="302">
        <f t="shared" si="99"/>
        <v>16.36</v>
      </c>
      <c r="I369" s="122">
        <f t="shared" si="99"/>
        <v>4090000</v>
      </c>
      <c r="J369" s="324">
        <f t="shared" si="99"/>
        <v>16.36</v>
      </c>
      <c r="K369" s="333">
        <f t="shared" si="99"/>
        <v>0.25</v>
      </c>
      <c r="L369" s="317">
        <f t="shared" si="99"/>
        <v>16.36</v>
      </c>
      <c r="M369" s="137"/>
      <c r="N369" s="161">
        <f>G368+N368</f>
        <v>5980000</v>
      </c>
    </row>
    <row r="370" spans="1:16">
      <c r="A370" s="44">
        <v>19</v>
      </c>
      <c r="B370" s="826" t="s">
        <v>57</v>
      </c>
      <c r="C370" s="827"/>
      <c r="D370" s="57"/>
      <c r="E370" s="119"/>
      <c r="F370" s="131"/>
      <c r="G370" s="119"/>
      <c r="H370" s="152"/>
      <c r="I370" s="119"/>
      <c r="J370" s="152"/>
      <c r="K370" s="152"/>
      <c r="L370" s="152"/>
      <c r="M370" s="131"/>
    </row>
    <row r="371" spans="1:16">
      <c r="A371" s="44"/>
      <c r="B371" s="47" t="s">
        <v>26</v>
      </c>
      <c r="C371" s="48" t="s">
        <v>58</v>
      </c>
      <c r="D371" s="60">
        <v>15000000</v>
      </c>
      <c r="E371" s="120">
        <v>0</v>
      </c>
      <c r="F371" s="132">
        <v>0</v>
      </c>
      <c r="G371" s="197">
        <v>15000000</v>
      </c>
      <c r="H371" s="59">
        <f>G371/D371*100</f>
        <v>100</v>
      </c>
      <c r="I371" s="197">
        <v>15000000</v>
      </c>
      <c r="J371" s="59">
        <f>I371/D371*100</f>
        <v>100</v>
      </c>
      <c r="K371" s="331">
        <f>3/12</f>
        <v>0.25</v>
      </c>
      <c r="L371" s="152">
        <f>J371</f>
        <v>100</v>
      </c>
      <c r="M371" s="132"/>
    </row>
    <row r="372" spans="1:16">
      <c r="A372" s="183"/>
      <c r="B372" s="64"/>
      <c r="C372" s="65" t="s">
        <v>45</v>
      </c>
      <c r="D372" s="66">
        <f>SUM(D371)</f>
        <v>15000000</v>
      </c>
      <c r="E372" s="122">
        <f>SUM(E369:E369)</f>
        <v>0</v>
      </c>
      <c r="F372" s="66">
        <f>SUM(F369:F369)</f>
        <v>0</v>
      </c>
      <c r="G372" s="122">
        <f>G371</f>
        <v>15000000</v>
      </c>
      <c r="H372" s="66">
        <f>G372/D372*100</f>
        <v>100</v>
      </c>
      <c r="I372" s="122">
        <f>I371</f>
        <v>15000000</v>
      </c>
      <c r="J372" s="155">
        <f>I372/D372*100</f>
        <v>100</v>
      </c>
      <c r="K372" s="333">
        <f>SUM(K371)</f>
        <v>0.25</v>
      </c>
      <c r="L372" s="66">
        <f>SUM(L371)</f>
        <v>100</v>
      </c>
      <c r="M372" s="66"/>
    </row>
    <row r="373" spans="1:16">
      <c r="A373" s="44">
        <v>32</v>
      </c>
      <c r="B373" s="97" t="s">
        <v>59</v>
      </c>
      <c r="C373" s="98"/>
      <c r="D373" s="57"/>
      <c r="E373" s="119"/>
      <c r="F373" s="131"/>
      <c r="G373" s="119"/>
      <c r="H373" s="152"/>
      <c r="I373" s="119"/>
      <c r="J373" s="152"/>
      <c r="K373" s="152"/>
      <c r="L373" s="152"/>
      <c r="M373" s="131"/>
    </row>
    <row r="374" spans="1:16">
      <c r="A374" s="44"/>
      <c r="B374" s="47" t="s">
        <v>26</v>
      </c>
      <c r="C374" s="58" t="s">
        <v>60</v>
      </c>
      <c r="D374" s="60">
        <v>15000000</v>
      </c>
      <c r="E374" s="120">
        <v>0</v>
      </c>
      <c r="F374" s="132">
        <v>0</v>
      </c>
      <c r="G374" s="197">
        <f>750000+225000</f>
        <v>975000</v>
      </c>
      <c r="H374" s="301">
        <f>G374/D374*100</f>
        <v>6.5</v>
      </c>
      <c r="I374" s="192">
        <f>G374</f>
        <v>975000</v>
      </c>
      <c r="J374" s="301">
        <f t="shared" ref="J374" si="100">I374/D374*100</f>
        <v>6.5</v>
      </c>
      <c r="K374" s="331">
        <f>3/12</f>
        <v>0.25</v>
      </c>
      <c r="L374" s="311">
        <f>J374</f>
        <v>6.5</v>
      </c>
      <c r="M374" s="132"/>
    </row>
    <row r="375" spans="1:16">
      <c r="A375" s="63"/>
      <c r="B375" s="64"/>
      <c r="C375" s="65" t="s">
        <v>45</v>
      </c>
      <c r="D375" s="66">
        <f>SUM(D374)</f>
        <v>15000000</v>
      </c>
      <c r="E375" s="122">
        <f>SUM(E374:E374)</f>
        <v>0</v>
      </c>
      <c r="F375" s="66">
        <f>SUM(F374:F374)</f>
        <v>0</v>
      </c>
      <c r="G375" s="122">
        <f>G374</f>
        <v>975000</v>
      </c>
      <c r="H375" s="302">
        <f>G375/D375*100</f>
        <v>6.5</v>
      </c>
      <c r="I375" s="122">
        <f>I374</f>
        <v>975000</v>
      </c>
      <c r="J375" s="302">
        <f>I375/D375*100</f>
        <v>6.5</v>
      </c>
      <c r="K375" s="333">
        <f>SUM(K374:K374)</f>
        <v>0.25</v>
      </c>
      <c r="L375" s="302">
        <f>SUM(L374:L374)</f>
        <v>6.5</v>
      </c>
      <c r="M375" s="66"/>
    </row>
    <row r="376" spans="1:16">
      <c r="A376" s="99">
        <v>15</v>
      </c>
      <c r="B376" s="100" t="s">
        <v>77</v>
      </c>
      <c r="C376" s="540"/>
      <c r="D376" s="70"/>
      <c r="E376" s="123"/>
      <c r="F376" s="134"/>
      <c r="G376" s="123"/>
      <c r="H376" s="156"/>
      <c r="I376" s="123"/>
      <c r="J376" s="144"/>
      <c r="K376" s="156"/>
      <c r="L376" s="156"/>
      <c r="M376" s="134"/>
    </row>
    <row r="377" spans="1:16">
      <c r="A377" s="84"/>
      <c r="B377" s="101" t="s">
        <v>78</v>
      </c>
      <c r="C377" s="48"/>
      <c r="D377" s="102"/>
      <c r="E377" s="119"/>
      <c r="F377" s="131"/>
      <c r="G377" s="119"/>
      <c r="H377" s="152"/>
      <c r="I377" s="119"/>
      <c r="J377" s="59"/>
      <c r="K377" s="152"/>
      <c r="L377" s="152"/>
      <c r="M377" s="131"/>
    </row>
    <row r="378" spans="1:16">
      <c r="A378" s="44"/>
      <c r="B378" s="47" t="s">
        <v>26</v>
      </c>
      <c r="C378" s="48" t="s">
        <v>79</v>
      </c>
      <c r="D378" s="60">
        <v>5000000</v>
      </c>
      <c r="E378" s="120">
        <v>0</v>
      </c>
      <c r="F378" s="132">
        <v>0</v>
      </c>
      <c r="G378" s="199" t="s">
        <v>132</v>
      </c>
      <c r="H378" s="59" t="s">
        <v>132</v>
      </c>
      <c r="I378" s="199" t="s">
        <v>132</v>
      </c>
      <c r="J378" s="59" t="s">
        <v>132</v>
      </c>
      <c r="K378" s="59">
        <v>0</v>
      </c>
      <c r="L378" s="59">
        <v>0</v>
      </c>
      <c r="M378" s="132"/>
    </row>
    <row r="379" spans="1:16">
      <c r="A379" s="89"/>
      <c r="B379" s="61" t="s">
        <v>80</v>
      </c>
      <c r="C379" s="103" t="s">
        <v>104</v>
      </c>
      <c r="D379" s="91">
        <v>15000000</v>
      </c>
      <c r="E379" s="127">
        <v>0</v>
      </c>
      <c r="F379" s="138">
        <v>0</v>
      </c>
      <c r="G379" s="197" t="s">
        <v>132</v>
      </c>
      <c r="H379" s="157" t="s">
        <v>132</v>
      </c>
      <c r="I379" s="197" t="s">
        <v>132</v>
      </c>
      <c r="J379" s="157" t="s">
        <v>132</v>
      </c>
      <c r="K379" s="59">
        <v>0</v>
      </c>
      <c r="L379" s="157">
        <v>0</v>
      </c>
      <c r="M379" s="136"/>
    </row>
    <row r="380" spans="1:16">
      <c r="A380" s="93"/>
      <c r="B380" s="83"/>
      <c r="C380" s="65" t="s">
        <v>45</v>
      </c>
      <c r="D380" s="66">
        <f>SUM(D378:D379)</f>
        <v>20000000</v>
      </c>
      <c r="E380" s="66">
        <f>SUM(E378:E379)</f>
        <v>0</v>
      </c>
      <c r="F380" s="66">
        <f t="shared" ref="F380" si="101">SUM(F378:F379)</f>
        <v>0</v>
      </c>
      <c r="G380" s="122" t="s">
        <v>132</v>
      </c>
      <c r="H380" s="66" t="s">
        <v>132</v>
      </c>
      <c r="I380" s="122" t="s">
        <v>132</v>
      </c>
      <c r="J380" s="66" t="s">
        <v>132</v>
      </c>
      <c r="K380" s="66">
        <f>SUM(K378:K379)</f>
        <v>0</v>
      </c>
      <c r="L380" s="66">
        <f t="shared" ref="L380" si="102">SUM(L378:L379)</f>
        <v>0</v>
      </c>
      <c r="M380" s="66"/>
    </row>
    <row r="381" spans="1:16">
      <c r="A381" s="84">
        <v>18</v>
      </c>
      <c r="B381" s="75" t="s">
        <v>82</v>
      </c>
      <c r="C381" s="76"/>
      <c r="D381" s="57"/>
      <c r="E381" s="119"/>
      <c r="F381" s="131"/>
      <c r="G381" s="119"/>
      <c r="H381" s="152"/>
      <c r="I381" s="119"/>
      <c r="J381" s="152"/>
      <c r="K381" s="152"/>
      <c r="L381" s="152"/>
      <c r="M381" s="131"/>
    </row>
    <row r="382" spans="1:16" ht="26.25">
      <c r="A382" s="84"/>
      <c r="B382" s="94" t="s">
        <v>29</v>
      </c>
      <c r="C382" s="48" t="s">
        <v>92</v>
      </c>
      <c r="D382" s="60">
        <v>7500000</v>
      </c>
      <c r="E382" s="120">
        <v>0</v>
      </c>
      <c r="F382" s="132">
        <v>0</v>
      </c>
      <c r="G382" s="199">
        <v>7500000</v>
      </c>
      <c r="H382" s="59">
        <f>G382/D382*100</f>
        <v>100</v>
      </c>
      <c r="I382" s="192">
        <f>G382</f>
        <v>7500000</v>
      </c>
      <c r="J382" s="59">
        <f t="shared" ref="J382" si="103">I382/D382*100</f>
        <v>100</v>
      </c>
      <c r="K382" s="331">
        <f>3/12</f>
        <v>0.25</v>
      </c>
      <c r="L382" s="152">
        <f>J382</f>
        <v>100</v>
      </c>
      <c r="M382" s="131"/>
    </row>
    <row r="383" spans="1:16" ht="26.25">
      <c r="A383" s="84"/>
      <c r="B383" s="94" t="s">
        <v>83</v>
      </c>
      <c r="C383" s="48" t="s">
        <v>93</v>
      </c>
      <c r="D383" s="62">
        <v>10000000</v>
      </c>
      <c r="E383" s="121">
        <v>0</v>
      </c>
      <c r="F383" s="133">
        <v>0</v>
      </c>
      <c r="G383" s="200">
        <v>10000000</v>
      </c>
      <c r="H383" s="59">
        <f>G383/D383*100</f>
        <v>100</v>
      </c>
      <c r="I383" s="200">
        <f>G383</f>
        <v>10000000</v>
      </c>
      <c r="J383" s="59">
        <f>I383/D383*100</f>
        <v>100</v>
      </c>
      <c r="K383" s="331">
        <f>3/12</f>
        <v>0.25</v>
      </c>
      <c r="L383" s="152">
        <f>J383</f>
        <v>100</v>
      </c>
      <c r="M383" s="131"/>
      <c r="N383" s="161">
        <v>750000</v>
      </c>
      <c r="O383" s="161">
        <v>38000</v>
      </c>
      <c r="P383" s="178">
        <f>N383-O383</f>
        <v>712000</v>
      </c>
    </row>
    <row r="384" spans="1:16">
      <c r="A384" s="93"/>
      <c r="B384" s="64"/>
      <c r="C384" s="65" t="s">
        <v>45</v>
      </c>
      <c r="D384" s="66">
        <f>SUM(D382:D383)</f>
        <v>17500000</v>
      </c>
      <c r="E384" s="66">
        <f t="shared" ref="E384:F384" si="104">SUM(E382:E383)</f>
        <v>0</v>
      </c>
      <c r="F384" s="66">
        <f t="shared" si="104"/>
        <v>0</v>
      </c>
      <c r="G384" s="122">
        <f>SUM(G382:G383)</f>
        <v>17500000</v>
      </c>
      <c r="H384" s="66">
        <f>G384/D384*100</f>
        <v>100</v>
      </c>
      <c r="I384" s="122">
        <f t="shared" ref="I384" si="105">SUM(I382:I383)</f>
        <v>17500000</v>
      </c>
      <c r="J384" s="66">
        <f>I384/D384*100</f>
        <v>100</v>
      </c>
      <c r="K384" s="333">
        <f>3/12</f>
        <v>0.25</v>
      </c>
      <c r="L384" s="66">
        <f>J384</f>
        <v>100</v>
      </c>
      <c r="M384" s="66"/>
      <c r="N384" s="161">
        <v>750000</v>
      </c>
      <c r="O384" s="161">
        <v>38000</v>
      </c>
      <c r="P384" s="178">
        <f t="shared" ref="P384:P388" si="106">N384-O384</f>
        <v>712000</v>
      </c>
    </row>
    <row r="385" spans="1:16">
      <c r="A385" s="99">
        <v>26</v>
      </c>
      <c r="B385" s="104" t="s">
        <v>105</v>
      </c>
      <c r="C385" s="105"/>
      <c r="D385" s="57"/>
      <c r="E385" s="119"/>
      <c r="F385" s="131"/>
      <c r="G385" s="119"/>
      <c r="H385" s="152"/>
      <c r="I385" s="119"/>
      <c r="J385" s="152"/>
      <c r="K385" s="152"/>
      <c r="L385" s="152"/>
      <c r="M385" s="131"/>
      <c r="N385" s="161">
        <v>650000</v>
      </c>
      <c r="O385" s="161">
        <v>38000</v>
      </c>
      <c r="P385" s="178">
        <f t="shared" si="106"/>
        <v>612000</v>
      </c>
    </row>
    <row r="386" spans="1:16">
      <c r="A386" s="44"/>
      <c r="B386" s="47" t="s">
        <v>84</v>
      </c>
      <c r="C386" s="48" t="s">
        <v>106</v>
      </c>
      <c r="D386" s="60">
        <v>5000000</v>
      </c>
      <c r="E386" s="120" t="s">
        <v>132</v>
      </c>
      <c r="F386" s="132">
        <v>0</v>
      </c>
      <c r="G386" s="120" t="s">
        <v>132</v>
      </c>
      <c r="H386" s="59" t="s">
        <v>132</v>
      </c>
      <c r="I386" s="120">
        <v>0</v>
      </c>
      <c r="J386" s="59" t="s">
        <v>132</v>
      </c>
      <c r="K386" s="157">
        <v>0</v>
      </c>
      <c r="L386" s="59">
        <v>0</v>
      </c>
      <c r="M386" s="132"/>
      <c r="N386" s="161">
        <v>650000</v>
      </c>
      <c r="O386" s="161">
        <v>38000</v>
      </c>
      <c r="P386" s="178">
        <f t="shared" si="106"/>
        <v>612000</v>
      </c>
    </row>
    <row r="387" spans="1:16">
      <c r="A387" s="63"/>
      <c r="B387" s="64"/>
      <c r="C387" s="65" t="s">
        <v>45</v>
      </c>
      <c r="D387" s="66">
        <f>SUM(D386)</f>
        <v>5000000</v>
      </c>
      <c r="E387" s="66">
        <v>0</v>
      </c>
      <c r="F387" s="66">
        <f t="shared" ref="F387" si="107">SUM(F384:F386)</f>
        <v>0</v>
      </c>
      <c r="G387" s="122" t="s">
        <v>132</v>
      </c>
      <c r="H387" s="66" t="s">
        <v>132</v>
      </c>
      <c r="I387" s="122" t="s">
        <v>132</v>
      </c>
      <c r="J387" s="66" t="s">
        <v>132</v>
      </c>
      <c r="K387" s="66">
        <f>SUM(K386)</f>
        <v>0</v>
      </c>
      <c r="L387" s="66">
        <v>0</v>
      </c>
      <c r="M387" s="66"/>
      <c r="N387" s="161">
        <v>550000</v>
      </c>
      <c r="O387" s="161">
        <v>38000</v>
      </c>
      <c r="P387" s="178">
        <f t="shared" si="106"/>
        <v>512000</v>
      </c>
    </row>
    <row r="388" spans="1:16">
      <c r="A388" s="99">
        <v>16</v>
      </c>
      <c r="B388" s="104" t="s">
        <v>123</v>
      </c>
      <c r="C388" s="105"/>
      <c r="D388" s="57"/>
      <c r="E388" s="119"/>
      <c r="F388" s="131"/>
      <c r="G388" s="119"/>
      <c r="H388" s="152"/>
      <c r="I388" s="119"/>
      <c r="J388" s="152"/>
      <c r="K388" s="152"/>
      <c r="L388" s="152"/>
      <c r="M388" s="131"/>
      <c r="N388" s="161">
        <v>550000</v>
      </c>
      <c r="O388" s="161">
        <v>38000</v>
      </c>
      <c r="P388" s="178">
        <f t="shared" si="106"/>
        <v>512000</v>
      </c>
    </row>
    <row r="389" spans="1:16">
      <c r="A389" s="84"/>
      <c r="B389" s="185" t="s">
        <v>124</v>
      </c>
      <c r="C389" s="186"/>
      <c r="D389" s="182"/>
      <c r="E389" s="124"/>
      <c r="F389" s="131"/>
      <c r="G389" s="131"/>
      <c r="H389" s="152"/>
      <c r="I389" s="131"/>
      <c r="J389" s="152"/>
      <c r="K389" s="152"/>
      <c r="L389" s="152"/>
      <c r="M389" s="152"/>
      <c r="N389" s="161">
        <f>SUM(N383:N388)</f>
        <v>3900000</v>
      </c>
      <c r="P389">
        <v>3</v>
      </c>
    </row>
    <row r="390" spans="1:16" ht="26.25">
      <c r="A390" s="44"/>
      <c r="B390" s="282" t="s">
        <v>46</v>
      </c>
      <c r="C390" s="50" t="s">
        <v>217</v>
      </c>
      <c r="D390" s="60">
        <v>27000000</v>
      </c>
      <c r="E390" s="125">
        <v>0</v>
      </c>
      <c r="F390" s="135">
        <v>0</v>
      </c>
      <c r="G390" s="124">
        <v>0</v>
      </c>
      <c r="H390" s="59" t="s">
        <v>132</v>
      </c>
      <c r="I390" s="124">
        <v>0</v>
      </c>
      <c r="J390" s="59" t="s">
        <v>132</v>
      </c>
      <c r="K390" s="59">
        <v>0</v>
      </c>
      <c r="L390" s="59">
        <v>0</v>
      </c>
      <c r="M390" s="59"/>
      <c r="N390" s="161">
        <v>228000</v>
      </c>
      <c r="O390" s="178">
        <f>N389*P389</f>
        <v>11700000</v>
      </c>
    </row>
    <row r="391" spans="1:16">
      <c r="A391" s="44"/>
      <c r="B391" s="163" t="s">
        <v>111</v>
      </c>
      <c r="C391" s="204" t="s">
        <v>81</v>
      </c>
      <c r="D391" s="205">
        <v>3000000</v>
      </c>
      <c r="E391" s="125">
        <v>0</v>
      </c>
      <c r="F391" s="135">
        <v>0</v>
      </c>
      <c r="G391" s="201" t="s">
        <v>132</v>
      </c>
      <c r="H391" s="187" t="s">
        <v>132</v>
      </c>
      <c r="I391" s="201" t="s">
        <v>132</v>
      </c>
      <c r="J391" s="187" t="s">
        <v>132</v>
      </c>
      <c r="K391" s="212">
        <v>0</v>
      </c>
      <c r="L391" s="187"/>
      <c r="M391" s="188"/>
      <c r="N391" s="161">
        <f>N389-N390</f>
        <v>3672000</v>
      </c>
      <c r="O391" s="178">
        <v>3672000</v>
      </c>
    </row>
    <row r="392" spans="1:16">
      <c r="A392" s="63"/>
      <c r="B392" s="64"/>
      <c r="C392" s="65" t="s">
        <v>45</v>
      </c>
      <c r="D392" s="66">
        <f>SUM(D390:D391)</f>
        <v>30000000</v>
      </c>
      <c r="E392" s="66">
        <f>SUM(E390:E391)</f>
        <v>0</v>
      </c>
      <c r="F392" s="66">
        <f>SUM(F390:F391)</f>
        <v>0</v>
      </c>
      <c r="G392" s="122" t="s">
        <v>132</v>
      </c>
      <c r="H392" s="66" t="s">
        <v>132</v>
      </c>
      <c r="I392" s="122">
        <f>SUM(I390:I391)</f>
        <v>0</v>
      </c>
      <c r="J392" s="66" t="s">
        <v>132</v>
      </c>
      <c r="K392" s="66">
        <f>SUM(K390:K391)</f>
        <v>0</v>
      </c>
      <c r="L392" s="66">
        <f>SUM(L390:L391)</f>
        <v>0</v>
      </c>
      <c r="M392" s="66"/>
      <c r="O392" s="178">
        <f>SUM(O390:O391)</f>
        <v>15372000</v>
      </c>
    </row>
    <row r="393" spans="1:16">
      <c r="A393" s="99">
        <v>17</v>
      </c>
      <c r="B393" s="104" t="s">
        <v>127</v>
      </c>
      <c r="C393" s="105"/>
      <c r="D393" s="57"/>
      <c r="E393" s="119"/>
      <c r="F393" s="131"/>
      <c r="G393" s="119"/>
      <c r="H393" s="152"/>
      <c r="I393" s="119"/>
      <c r="J393" s="152"/>
      <c r="K393" s="152"/>
      <c r="L393" s="152"/>
      <c r="M393" s="131"/>
    </row>
    <row r="394" spans="1:16" ht="26.25">
      <c r="A394" s="44"/>
      <c r="B394" s="47" t="s">
        <v>84</v>
      </c>
      <c r="C394" s="48" t="s">
        <v>128</v>
      </c>
      <c r="D394" s="60">
        <v>10000000</v>
      </c>
      <c r="E394" s="120">
        <v>0</v>
      </c>
      <c r="F394" s="132">
        <v>0</v>
      </c>
      <c r="G394" s="120" t="s">
        <v>132</v>
      </c>
      <c r="H394" s="59" t="s">
        <v>132</v>
      </c>
      <c r="I394" s="120">
        <v>0</v>
      </c>
      <c r="J394" s="59" t="s">
        <v>132</v>
      </c>
      <c r="K394" s="157">
        <v>0</v>
      </c>
      <c r="L394" s="59">
        <v>0</v>
      </c>
      <c r="M394" s="132"/>
    </row>
    <row r="395" spans="1:16">
      <c r="A395" s="63"/>
      <c r="B395" s="64"/>
      <c r="C395" s="65" t="s">
        <v>45</v>
      </c>
      <c r="D395" s="66">
        <f>SUM(D394)</f>
        <v>10000000</v>
      </c>
      <c r="E395" s="66">
        <f t="shared" ref="E395:F395" si="108">SUM(E392:E394)</f>
        <v>0</v>
      </c>
      <c r="F395" s="66">
        <f t="shared" si="108"/>
        <v>0</v>
      </c>
      <c r="G395" s="122" t="s">
        <v>132</v>
      </c>
      <c r="H395" s="66" t="s">
        <v>132</v>
      </c>
      <c r="I395" s="122" t="s">
        <v>132</v>
      </c>
      <c r="J395" s="66" t="s">
        <v>132</v>
      </c>
      <c r="K395" s="66">
        <f>SUM(K394)</f>
        <v>0</v>
      </c>
      <c r="L395" s="66">
        <v>0</v>
      </c>
      <c r="M395" s="66"/>
    </row>
    <row r="396" spans="1:16">
      <c r="A396" s="44">
        <v>18</v>
      </c>
      <c r="B396" s="104" t="s">
        <v>218</v>
      </c>
      <c r="C396" s="105"/>
      <c r="D396" s="70"/>
      <c r="E396" s="70"/>
      <c r="F396" s="70"/>
      <c r="G396" s="287"/>
      <c r="H396" s="70"/>
      <c r="I396" s="287"/>
      <c r="J396" s="70"/>
      <c r="K396" s="70"/>
      <c r="L396" s="70"/>
      <c r="M396" s="70"/>
    </row>
    <row r="397" spans="1:16" ht="25.5">
      <c r="A397" s="44"/>
      <c r="B397" s="283" t="s">
        <v>83</v>
      </c>
      <c r="C397" s="284" t="s">
        <v>219</v>
      </c>
      <c r="D397" s="288">
        <v>50000000</v>
      </c>
      <c r="E397" s="285">
        <v>0</v>
      </c>
      <c r="F397" s="285">
        <v>0</v>
      </c>
      <c r="G397" s="286">
        <v>0</v>
      </c>
      <c r="H397" s="285">
        <v>0</v>
      </c>
      <c r="I397" s="286">
        <v>0</v>
      </c>
      <c r="J397" s="285">
        <v>0</v>
      </c>
      <c r="K397" s="157">
        <v>0</v>
      </c>
      <c r="L397" s="285">
        <v>0</v>
      </c>
      <c r="M397" s="285"/>
    </row>
    <row r="398" spans="1:16">
      <c r="A398" s="63"/>
      <c r="B398" s="64"/>
      <c r="C398" s="65" t="s">
        <v>45</v>
      </c>
      <c r="D398" s="66">
        <f>SUM(D397)</f>
        <v>50000000</v>
      </c>
      <c r="E398" s="66">
        <v>0</v>
      </c>
      <c r="F398" s="66">
        <v>0</v>
      </c>
      <c r="G398" s="122">
        <v>0</v>
      </c>
      <c r="H398" s="66">
        <v>0</v>
      </c>
      <c r="I398" s="122">
        <v>0</v>
      </c>
      <c r="J398" s="66">
        <v>0</v>
      </c>
      <c r="K398" s="66">
        <f>SUM(K397)</f>
        <v>0</v>
      </c>
      <c r="L398" s="66">
        <v>0</v>
      </c>
      <c r="M398" s="66"/>
    </row>
    <row r="399" spans="1:16">
      <c r="A399" s="44">
        <v>24</v>
      </c>
      <c r="B399" s="104" t="s">
        <v>221</v>
      </c>
      <c r="C399" s="105"/>
      <c r="D399" s="70"/>
      <c r="E399" s="70"/>
      <c r="F399" s="70"/>
      <c r="G399" s="287"/>
      <c r="H399" s="70"/>
      <c r="I399" s="287"/>
      <c r="J399" s="70"/>
      <c r="K399" s="70"/>
      <c r="L399" s="70"/>
      <c r="M399" s="70"/>
    </row>
    <row r="400" spans="1:16">
      <c r="A400" s="44"/>
      <c r="B400" s="283" t="s">
        <v>83</v>
      </c>
      <c r="C400" s="284" t="s">
        <v>222</v>
      </c>
      <c r="D400" s="288">
        <v>50000000</v>
      </c>
      <c r="E400" s="285">
        <v>0</v>
      </c>
      <c r="F400" s="285">
        <v>0</v>
      </c>
      <c r="G400" s="286">
        <v>0</v>
      </c>
      <c r="H400" s="285">
        <v>0</v>
      </c>
      <c r="I400" s="286">
        <v>0</v>
      </c>
      <c r="J400" s="285">
        <v>0</v>
      </c>
      <c r="K400" s="157">
        <v>0</v>
      </c>
      <c r="L400" s="285">
        <v>0</v>
      </c>
      <c r="M400" s="285"/>
    </row>
    <row r="401" spans="1:13">
      <c r="A401" s="63"/>
      <c r="B401" s="64"/>
      <c r="C401" s="65" t="s">
        <v>45</v>
      </c>
      <c r="D401" s="66">
        <f>SUM(D400)</f>
        <v>50000000</v>
      </c>
      <c r="E401" s="66">
        <v>0</v>
      </c>
      <c r="F401" s="66">
        <v>0</v>
      </c>
      <c r="G401" s="122">
        <v>0</v>
      </c>
      <c r="H401" s="66">
        <v>0</v>
      </c>
      <c r="I401" s="122">
        <v>0</v>
      </c>
      <c r="J401" s="66">
        <v>0</v>
      </c>
      <c r="K401" s="66">
        <f>SUM(K400)</f>
        <v>0</v>
      </c>
      <c r="L401" s="66">
        <v>0</v>
      </c>
      <c r="M401" s="66"/>
    </row>
    <row r="402" spans="1:13" ht="15.75" thickBot="1">
      <c r="A402" s="166"/>
      <c r="B402" s="167" t="s">
        <v>85</v>
      </c>
      <c r="C402" s="106"/>
      <c r="D402" s="107">
        <f>D296+D293</f>
        <v>3251325000</v>
      </c>
      <c r="E402" s="107">
        <f>E296+E293</f>
        <v>0</v>
      </c>
      <c r="F402" s="107">
        <f>F296+F293</f>
        <v>0</v>
      </c>
      <c r="G402" s="107">
        <f>G293+G296</f>
        <v>447048487</v>
      </c>
      <c r="H402" s="213">
        <f>G402/D402*100</f>
        <v>13.749732401405582</v>
      </c>
      <c r="I402" s="107">
        <f>I296+I293</f>
        <v>447048487</v>
      </c>
      <c r="J402" s="213">
        <f>I402/D402*100</f>
        <v>13.749732401405582</v>
      </c>
      <c r="K402" s="337">
        <f>3/12</f>
        <v>0.25</v>
      </c>
      <c r="L402" s="213">
        <f>J402</f>
        <v>13.749732401405582</v>
      </c>
      <c r="M402" s="158"/>
    </row>
    <row r="403" spans="1:13" ht="15.75" thickTop="1">
      <c r="A403" s="342"/>
      <c r="B403" s="343"/>
      <c r="C403" s="344"/>
      <c r="D403" s="345"/>
      <c r="E403" s="345"/>
      <c r="F403" s="345"/>
      <c r="G403" s="345"/>
      <c r="H403" s="346"/>
      <c r="I403" s="345"/>
      <c r="J403" s="346"/>
      <c r="K403" s="347"/>
      <c r="L403" s="346"/>
      <c r="M403" s="348"/>
    </row>
    <row r="404" spans="1:13">
      <c r="A404" s="168"/>
      <c r="B404" s="169"/>
      <c r="C404" s="170"/>
      <c r="D404" s="171"/>
      <c r="E404" s="108"/>
      <c r="H404" s="128"/>
      <c r="I404" s="159" t="s">
        <v>231</v>
      </c>
      <c r="J404" s="128"/>
      <c r="L404" s="128"/>
      <c r="M404" s="128"/>
    </row>
    <row r="405" spans="1:13">
      <c r="A405" s="172"/>
      <c r="B405" s="169"/>
      <c r="C405" s="173"/>
      <c r="D405" s="171"/>
      <c r="E405" s="174"/>
      <c r="H405" s="128"/>
      <c r="I405" s="159" t="s">
        <v>86</v>
      </c>
      <c r="J405" s="128"/>
      <c r="L405" s="128"/>
      <c r="M405" s="128"/>
    </row>
    <row r="406" spans="1:13">
      <c r="A406" s="172"/>
      <c r="B406" s="169"/>
      <c r="C406" s="173"/>
      <c r="D406" s="171"/>
      <c r="E406" s="108"/>
      <c r="H406" s="128"/>
      <c r="I406" s="159"/>
      <c r="J406" s="128"/>
      <c r="L406" s="128"/>
      <c r="M406" s="128"/>
    </row>
    <row r="407" spans="1:13">
      <c r="A407" s="175"/>
      <c r="B407" s="176"/>
      <c r="C407" s="177"/>
      <c r="D407" s="171"/>
      <c r="E407" s="108"/>
      <c r="G407" s="128" t="s">
        <v>227</v>
      </c>
      <c r="H407" s="128"/>
      <c r="I407" s="160" t="s">
        <v>120</v>
      </c>
      <c r="J407" s="128"/>
      <c r="L407" s="128"/>
      <c r="M407" s="128"/>
    </row>
    <row r="408" spans="1:13">
      <c r="A408" s="175"/>
      <c r="B408" s="176"/>
      <c r="C408" s="177"/>
      <c r="D408" s="175"/>
      <c r="E408" s="108"/>
      <c r="H408" s="128"/>
      <c r="I408" s="159" t="s">
        <v>108</v>
      </c>
      <c r="J408" s="128"/>
      <c r="L408" s="128"/>
      <c r="M408" s="128"/>
    </row>
    <row r="409" spans="1:13">
      <c r="A409" s="175"/>
      <c r="B409" s="176"/>
      <c r="C409" s="177"/>
      <c r="D409" s="175"/>
      <c r="E409" s="108"/>
      <c r="H409" s="128"/>
      <c r="I409" s="159" t="s">
        <v>121</v>
      </c>
      <c r="J409" s="128"/>
      <c r="L409" s="128"/>
      <c r="M409" s="128"/>
    </row>
    <row r="444" spans="1:13" ht="15.75">
      <c r="A444" s="832" t="s">
        <v>223</v>
      </c>
      <c r="B444" s="832"/>
      <c r="C444" s="832"/>
      <c r="D444" s="832"/>
      <c r="E444" s="832"/>
      <c r="F444" s="832"/>
      <c r="G444" s="832"/>
      <c r="H444" s="832"/>
      <c r="I444" s="832"/>
      <c r="J444" s="832"/>
      <c r="K444" s="832"/>
      <c r="L444" s="832"/>
      <c r="M444" s="832"/>
    </row>
    <row r="445" spans="1:13" ht="15.75">
      <c r="A445" s="832" t="s">
        <v>224</v>
      </c>
      <c r="B445" s="832"/>
      <c r="C445" s="832"/>
      <c r="D445" s="832"/>
      <c r="E445" s="832"/>
      <c r="F445" s="832"/>
      <c r="G445" s="832"/>
      <c r="H445" s="832"/>
      <c r="I445" s="832"/>
      <c r="J445" s="832"/>
      <c r="K445" s="832"/>
      <c r="L445" s="832"/>
      <c r="M445" s="832"/>
    </row>
    <row r="446" spans="1:13" ht="15.75">
      <c r="A446" s="541"/>
      <c r="B446" s="541"/>
      <c r="C446" s="541"/>
      <c r="D446" s="541"/>
      <c r="E446" s="541"/>
      <c r="F446" s="541"/>
      <c r="G446" s="303"/>
      <c r="H446" s="541"/>
      <c r="I446" s="541"/>
      <c r="J446" s="541"/>
      <c r="K446" s="303"/>
      <c r="L446" s="541"/>
      <c r="M446" s="541"/>
    </row>
    <row r="447" spans="1:13" ht="16.5">
      <c r="A447" s="1" t="s">
        <v>213</v>
      </c>
      <c r="B447" s="2"/>
      <c r="C447" s="3" t="s">
        <v>2</v>
      </c>
      <c r="E447" s="108"/>
      <c r="G447" s="304"/>
      <c r="H447" s="4"/>
      <c r="I447" s="5"/>
      <c r="J447" s="4"/>
      <c r="M447" s="4"/>
    </row>
    <row r="448" spans="1:13" ht="17.25" thickBot="1">
      <c r="A448" s="14" t="s">
        <v>225</v>
      </c>
      <c r="B448" s="14"/>
      <c r="C448" s="292" t="s">
        <v>232</v>
      </c>
      <c r="D448" s="129"/>
      <c r="E448" s="109"/>
      <c r="F448" s="129"/>
      <c r="G448" s="305"/>
      <c r="H448" s="14"/>
      <c r="I448" s="16"/>
      <c r="J448" s="14"/>
      <c r="K448" s="129"/>
      <c r="L448" s="15"/>
      <c r="M448" s="14"/>
    </row>
    <row r="449" spans="1:14" ht="15.75" thickTop="1">
      <c r="A449" s="833" t="s">
        <v>3</v>
      </c>
      <c r="B449" s="836" t="s">
        <v>4</v>
      </c>
      <c r="C449" s="837"/>
      <c r="D449" s="289" t="s">
        <v>5</v>
      </c>
      <c r="E449" s="110" t="s">
        <v>6</v>
      </c>
      <c r="F449" s="130"/>
      <c r="G449" s="842" t="s">
        <v>7</v>
      </c>
      <c r="H449" s="843"/>
      <c r="I449" s="843"/>
      <c r="J449" s="843"/>
      <c r="K449" s="844" t="s">
        <v>8</v>
      </c>
      <c r="L449" s="844"/>
      <c r="M449" s="833" t="s">
        <v>9</v>
      </c>
    </row>
    <row r="450" spans="1:14">
      <c r="A450" s="834"/>
      <c r="B450" s="838"/>
      <c r="C450" s="839"/>
      <c r="D450" s="290" t="s">
        <v>10</v>
      </c>
      <c r="E450" s="111" t="s">
        <v>11</v>
      </c>
      <c r="F450" s="111" t="s">
        <v>12</v>
      </c>
      <c r="G450" s="111" t="s">
        <v>13</v>
      </c>
      <c r="H450" s="845" t="s">
        <v>14</v>
      </c>
      <c r="I450" s="6" t="s">
        <v>15</v>
      </c>
      <c r="J450" s="846" t="s">
        <v>14</v>
      </c>
      <c r="K450" s="321" t="s">
        <v>16</v>
      </c>
      <c r="L450" s="7" t="s">
        <v>17</v>
      </c>
      <c r="M450" s="834"/>
    </row>
    <row r="451" spans="1:14">
      <c r="A451" s="835"/>
      <c r="B451" s="840"/>
      <c r="C451" s="841"/>
      <c r="D451" s="291" t="s">
        <v>18</v>
      </c>
      <c r="E451" s="112" t="s">
        <v>18</v>
      </c>
      <c r="F451" s="112"/>
      <c r="G451" s="306" t="s">
        <v>19</v>
      </c>
      <c r="H451" s="835"/>
      <c r="I451" s="8" t="s">
        <v>19</v>
      </c>
      <c r="J451" s="847"/>
      <c r="K451" s="322" t="s">
        <v>233</v>
      </c>
      <c r="L451" s="9" t="s">
        <v>233</v>
      </c>
      <c r="M451" s="835"/>
    </row>
    <row r="452" spans="1:14" ht="15.75" thickBot="1">
      <c r="A452" s="17">
        <v>1</v>
      </c>
      <c r="B452" s="828">
        <v>2</v>
      </c>
      <c r="C452" s="829"/>
      <c r="D452" s="113">
        <v>3</v>
      </c>
      <c r="E452" s="113">
        <v>4</v>
      </c>
      <c r="F452" s="113">
        <v>5</v>
      </c>
      <c r="G452" s="113">
        <v>6</v>
      </c>
      <c r="H452" s="18">
        <v>7</v>
      </c>
      <c r="I452" s="18">
        <v>8</v>
      </c>
      <c r="J452" s="18">
        <v>9</v>
      </c>
      <c r="K452" s="113">
        <v>10</v>
      </c>
      <c r="L452" s="18">
        <v>11</v>
      </c>
      <c r="M452" s="18">
        <v>12</v>
      </c>
    </row>
    <row r="453" spans="1:14" ht="15.75" thickBot="1">
      <c r="A453" s="35" t="s">
        <v>20</v>
      </c>
      <c r="B453" s="36" t="s">
        <v>21</v>
      </c>
      <c r="C453" s="37"/>
      <c r="D453" s="30">
        <f>D454+D455</f>
        <v>2257113000</v>
      </c>
      <c r="E453" s="30">
        <f>E454</f>
        <v>0</v>
      </c>
      <c r="F453" s="30">
        <v>0</v>
      </c>
      <c r="G453" s="30">
        <f>G454+G455</f>
        <v>576575438</v>
      </c>
      <c r="H453" s="214">
        <f>G453/D453*100</f>
        <v>25.544819333369663</v>
      </c>
      <c r="I453" s="30">
        <f>G453</f>
        <v>576575438</v>
      </c>
      <c r="J453" s="217">
        <f>I453/D453*100</f>
        <v>25.544819333369663</v>
      </c>
      <c r="K453" s="332">
        <f>4/12</f>
        <v>0.33333333333333331</v>
      </c>
      <c r="L453" s="215">
        <f>J453</f>
        <v>25.544819333369663</v>
      </c>
      <c r="M453" s="53"/>
    </row>
    <row r="454" spans="1:14" ht="15.75" thickBot="1">
      <c r="A454" s="38" t="s">
        <v>22</v>
      </c>
      <c r="B454" s="39" t="s">
        <v>23</v>
      </c>
      <c r="C454" s="40"/>
      <c r="D454" s="31">
        <v>1872153000</v>
      </c>
      <c r="E454" s="114">
        <v>0</v>
      </c>
      <c r="F454" s="30">
        <v>0</v>
      </c>
      <c r="G454" s="30">
        <v>473825438</v>
      </c>
      <c r="H454" s="214">
        <f>G454/D454*100</f>
        <v>25.309119393553836</v>
      </c>
      <c r="I454" s="296">
        <f>G454</f>
        <v>473825438</v>
      </c>
      <c r="J454" s="217">
        <f>I454/D454*100</f>
        <v>25.309119393553836</v>
      </c>
      <c r="K454" s="332">
        <f t="shared" ref="K454:K455" si="109">4/12</f>
        <v>0.33333333333333331</v>
      </c>
      <c r="L454" s="215">
        <f>J454</f>
        <v>25.309119393553836</v>
      </c>
      <c r="M454" s="146"/>
    </row>
    <row r="455" spans="1:14" ht="15.75" thickBot="1">
      <c r="A455" s="139"/>
      <c r="B455" s="140" t="s">
        <v>107</v>
      </c>
      <c r="C455" s="141"/>
      <c r="D455" s="31">
        <v>384960000</v>
      </c>
      <c r="E455" s="114">
        <v>0</v>
      </c>
      <c r="F455" s="30">
        <v>0</v>
      </c>
      <c r="G455" s="351">
        <v>102750000</v>
      </c>
      <c r="H455" s="214">
        <f>G455/D455*100</f>
        <v>26.691084788029922</v>
      </c>
      <c r="I455" s="296">
        <f>G455</f>
        <v>102750000</v>
      </c>
      <c r="J455" s="217">
        <f>I455/D455*100</f>
        <v>26.691084788029922</v>
      </c>
      <c r="K455" s="332">
        <f t="shared" si="109"/>
        <v>0.33333333333333331</v>
      </c>
      <c r="L455" s="215">
        <f>J455</f>
        <v>26.691084788029922</v>
      </c>
      <c r="M455" s="149"/>
      <c r="N455" s="161">
        <v>185999157</v>
      </c>
    </row>
    <row r="456" spans="1:14" ht="15.75" thickBot="1">
      <c r="A456" s="35" t="s">
        <v>24</v>
      </c>
      <c r="B456" s="36" t="s">
        <v>25</v>
      </c>
      <c r="C456" s="37"/>
      <c r="D456" s="30">
        <f>D473+D483+D486+D490+D493+D496+D502+D505+D509+D512+D516+D519+D522+D525+D529+D532+D535+D540+D544+D547+D552+D555+D558+D561</f>
        <v>994212000</v>
      </c>
      <c r="E456" s="30">
        <v>0</v>
      </c>
      <c r="F456" s="30">
        <v>0</v>
      </c>
      <c r="G456" s="30">
        <f>G473+G483+G512+G516+G532+G535+G522+G525+G529+G544+G496</f>
        <v>194483719</v>
      </c>
      <c r="H456" s="215">
        <f>G456/D456*100</f>
        <v>19.561594408436029</v>
      </c>
      <c r="I456" s="296">
        <f>G456</f>
        <v>194483719</v>
      </c>
      <c r="J456" s="217">
        <f>I456/D456*100</f>
        <v>19.561594408436029</v>
      </c>
      <c r="K456" s="336">
        <f>4/12</f>
        <v>0.33333333333333331</v>
      </c>
      <c r="L456" s="215">
        <f>J456</f>
        <v>19.561594408436029</v>
      </c>
      <c r="M456" s="30"/>
      <c r="N456" s="161">
        <f>I456-N455</f>
        <v>8484562</v>
      </c>
    </row>
    <row r="457" spans="1:14">
      <c r="A457" s="41" t="s">
        <v>26</v>
      </c>
      <c r="B457" s="42" t="s">
        <v>27</v>
      </c>
      <c r="C457" s="43"/>
      <c r="D457" s="32"/>
      <c r="E457" s="115"/>
      <c r="F457" s="32"/>
      <c r="G457" s="150"/>
      <c r="H457" s="151"/>
      <c r="I457" s="191"/>
      <c r="J457" s="150"/>
      <c r="K457" s="32"/>
      <c r="L457" s="32"/>
      <c r="M457" s="32"/>
    </row>
    <row r="458" spans="1:14">
      <c r="A458" s="44"/>
      <c r="B458" s="45" t="s">
        <v>26</v>
      </c>
      <c r="C458" s="46" t="s">
        <v>28</v>
      </c>
      <c r="D458" s="33">
        <v>6000000</v>
      </c>
      <c r="E458" s="116">
        <v>0</v>
      </c>
      <c r="F458" s="131">
        <v>0</v>
      </c>
      <c r="G458" s="192">
        <f>999000+501000</f>
        <v>1500000</v>
      </c>
      <c r="H458" s="299">
        <f>G458/D458*100</f>
        <v>25</v>
      </c>
      <c r="I458" s="192">
        <f>G458</f>
        <v>1500000</v>
      </c>
      <c r="J458" s="301">
        <f>H458</f>
        <v>25</v>
      </c>
      <c r="K458" s="331">
        <f>4/12</f>
        <v>0.33333333333333331</v>
      </c>
      <c r="L458" s="311">
        <f>J458</f>
        <v>25</v>
      </c>
      <c r="M458" s="131"/>
      <c r="N458" s="341"/>
    </row>
    <row r="459" spans="1:14">
      <c r="A459" s="44"/>
      <c r="B459" s="47" t="s">
        <v>29</v>
      </c>
      <c r="C459" s="48" t="s">
        <v>30</v>
      </c>
      <c r="D459" s="34">
        <v>8000000</v>
      </c>
      <c r="E459" s="297">
        <v>0</v>
      </c>
      <c r="F459" s="132">
        <v>0</v>
      </c>
      <c r="G459" s="192">
        <v>940879</v>
      </c>
      <c r="H459" s="299">
        <f t="shared" ref="H459:H472" si="110">G459/D459*100</f>
        <v>11.760987500000001</v>
      </c>
      <c r="I459" s="192">
        <f>G459</f>
        <v>940879</v>
      </c>
      <c r="J459" s="301">
        <f>I459/D459*100</f>
        <v>11.760987500000001</v>
      </c>
      <c r="K459" s="331">
        <f t="shared" ref="K459:K472" si="111">4/12</f>
        <v>0.33333333333333331</v>
      </c>
      <c r="L459" s="311">
        <f t="shared" ref="L459:L472" si="112">J459</f>
        <v>11.760987500000001</v>
      </c>
      <c r="M459" s="132"/>
    </row>
    <row r="460" spans="1:14">
      <c r="A460" s="44"/>
      <c r="B460" s="47" t="s">
        <v>29</v>
      </c>
      <c r="C460" s="48" t="s">
        <v>31</v>
      </c>
      <c r="D460" s="34">
        <v>5000000</v>
      </c>
      <c r="E460" s="297">
        <v>0</v>
      </c>
      <c r="F460" s="132">
        <v>0</v>
      </c>
      <c r="G460" s="192">
        <v>929800</v>
      </c>
      <c r="H460" s="299">
        <f t="shared" si="110"/>
        <v>18.596</v>
      </c>
      <c r="I460" s="192">
        <f t="shared" ref="I460:I461" si="113">G460</f>
        <v>929800</v>
      </c>
      <c r="J460" s="301">
        <f t="shared" ref="J460:J469" si="114">I460/D460*100</f>
        <v>18.596</v>
      </c>
      <c r="K460" s="331">
        <f t="shared" si="111"/>
        <v>0.33333333333333331</v>
      </c>
      <c r="L460" s="311">
        <f t="shared" si="112"/>
        <v>18.596</v>
      </c>
      <c r="M460" s="132"/>
    </row>
    <row r="461" spans="1:14">
      <c r="A461" s="44"/>
      <c r="B461" s="47" t="s">
        <v>29</v>
      </c>
      <c r="C461" s="48" t="s">
        <v>32</v>
      </c>
      <c r="D461" s="34">
        <v>12000000</v>
      </c>
      <c r="E461" s="297">
        <v>0</v>
      </c>
      <c r="F461" s="132">
        <v>0</v>
      </c>
      <c r="G461" s="192">
        <v>2574740</v>
      </c>
      <c r="H461" s="299">
        <f t="shared" si="110"/>
        <v>21.456166666666668</v>
      </c>
      <c r="I461" s="192">
        <f t="shared" si="113"/>
        <v>2574740</v>
      </c>
      <c r="J461" s="301">
        <f t="shared" si="114"/>
        <v>21.456166666666668</v>
      </c>
      <c r="K461" s="331">
        <f t="shared" si="111"/>
        <v>0.33333333333333331</v>
      </c>
      <c r="L461" s="311">
        <f t="shared" si="112"/>
        <v>21.456166666666668</v>
      </c>
      <c r="M461" s="132"/>
    </row>
    <row r="462" spans="1:14">
      <c r="A462" s="44"/>
      <c r="B462" s="47" t="s">
        <v>33</v>
      </c>
      <c r="C462" s="48" t="s">
        <v>34</v>
      </c>
      <c r="D462" s="34">
        <v>12105000</v>
      </c>
      <c r="E462" s="117">
        <v>0</v>
      </c>
      <c r="F462" s="132">
        <v>0</v>
      </c>
      <c r="G462" s="192">
        <v>2000000</v>
      </c>
      <c r="H462" s="299">
        <f t="shared" si="110"/>
        <v>16.522098306484921</v>
      </c>
      <c r="I462" s="192">
        <f>G462</f>
        <v>2000000</v>
      </c>
      <c r="J462" s="301">
        <f t="shared" si="114"/>
        <v>16.522098306484921</v>
      </c>
      <c r="K462" s="331">
        <f t="shared" si="111"/>
        <v>0.33333333333333331</v>
      </c>
      <c r="L462" s="311">
        <f t="shared" si="112"/>
        <v>16.522098306484921</v>
      </c>
      <c r="M462" s="132"/>
    </row>
    <row r="463" spans="1:14">
      <c r="A463" s="44"/>
      <c r="B463" s="47">
        <v>10</v>
      </c>
      <c r="C463" s="48" t="s">
        <v>35</v>
      </c>
      <c r="D463" s="34">
        <v>11895000</v>
      </c>
      <c r="E463" s="117">
        <v>0</v>
      </c>
      <c r="F463" s="132">
        <v>0</v>
      </c>
      <c r="G463" s="192">
        <f>1500000+1000000</f>
        <v>2500000</v>
      </c>
      <c r="H463" s="299">
        <f t="shared" si="110"/>
        <v>21.017234131988229</v>
      </c>
      <c r="I463" s="192">
        <f t="shared" ref="I463:I466" si="115">G463</f>
        <v>2500000</v>
      </c>
      <c r="J463" s="301">
        <f t="shared" si="114"/>
        <v>21.017234131988229</v>
      </c>
      <c r="K463" s="331">
        <f t="shared" si="111"/>
        <v>0.33333333333333331</v>
      </c>
      <c r="L463" s="311">
        <f t="shared" si="112"/>
        <v>21.017234131988229</v>
      </c>
      <c r="M463" s="132"/>
    </row>
    <row r="464" spans="1:14">
      <c r="A464" s="44"/>
      <c r="B464" s="47">
        <v>11</v>
      </c>
      <c r="C464" s="48" t="s">
        <v>36</v>
      </c>
      <c r="D464" s="34">
        <v>6000000</v>
      </c>
      <c r="E464" s="117">
        <v>0</v>
      </c>
      <c r="F464" s="132">
        <v>0</v>
      </c>
      <c r="G464" s="192">
        <f>1000000+500000</f>
        <v>1500000</v>
      </c>
      <c r="H464" s="299">
        <f t="shared" si="110"/>
        <v>25</v>
      </c>
      <c r="I464" s="192">
        <f t="shared" si="115"/>
        <v>1500000</v>
      </c>
      <c r="J464" s="301">
        <f t="shared" si="114"/>
        <v>25</v>
      </c>
      <c r="K464" s="331">
        <f t="shared" si="111"/>
        <v>0.33333333333333331</v>
      </c>
      <c r="L464" s="311">
        <f t="shared" si="112"/>
        <v>25</v>
      </c>
      <c r="M464" s="132"/>
    </row>
    <row r="465" spans="1:13">
      <c r="A465" s="44"/>
      <c r="B465" s="47">
        <v>11</v>
      </c>
      <c r="C465" s="48" t="s">
        <v>37</v>
      </c>
      <c r="D465" s="34">
        <v>18000000</v>
      </c>
      <c r="E465" s="117">
        <v>0</v>
      </c>
      <c r="F465" s="132">
        <v>0</v>
      </c>
      <c r="G465" s="192">
        <f>2525600+17850+34600</f>
        <v>2578050</v>
      </c>
      <c r="H465" s="299">
        <f t="shared" si="110"/>
        <v>14.3225</v>
      </c>
      <c r="I465" s="192">
        <f t="shared" si="115"/>
        <v>2578050</v>
      </c>
      <c r="J465" s="301">
        <f t="shared" si="114"/>
        <v>14.3225</v>
      </c>
      <c r="K465" s="331">
        <f t="shared" si="111"/>
        <v>0.33333333333333331</v>
      </c>
      <c r="L465" s="311">
        <f t="shared" si="112"/>
        <v>14.3225</v>
      </c>
      <c r="M465" s="132"/>
    </row>
    <row r="466" spans="1:13">
      <c r="A466" s="44"/>
      <c r="B466" s="47">
        <v>12</v>
      </c>
      <c r="C466" s="48" t="s">
        <v>38</v>
      </c>
      <c r="D466" s="34">
        <v>5000000</v>
      </c>
      <c r="E466" s="117">
        <v>0</v>
      </c>
      <c r="F466" s="132">
        <v>0</v>
      </c>
      <c r="G466" s="192">
        <v>1000000</v>
      </c>
      <c r="H466" s="299">
        <f t="shared" si="110"/>
        <v>20</v>
      </c>
      <c r="I466" s="192">
        <f t="shared" si="115"/>
        <v>1000000</v>
      </c>
      <c r="J466" s="301">
        <f t="shared" si="114"/>
        <v>20</v>
      </c>
      <c r="K466" s="331">
        <f t="shared" si="111"/>
        <v>0.33333333333333331</v>
      </c>
      <c r="L466" s="311">
        <f t="shared" si="112"/>
        <v>20</v>
      </c>
      <c r="M466" s="132"/>
    </row>
    <row r="467" spans="1:13">
      <c r="A467" s="44"/>
      <c r="B467" s="47">
        <v>13</v>
      </c>
      <c r="C467" s="48" t="s">
        <v>39</v>
      </c>
      <c r="D467" s="34">
        <v>5000000</v>
      </c>
      <c r="E467" s="117">
        <v>0</v>
      </c>
      <c r="F467" s="132">
        <v>0</v>
      </c>
      <c r="G467" s="192">
        <f>1000000+250000</f>
        <v>1250000</v>
      </c>
      <c r="H467" s="299">
        <f t="shared" si="110"/>
        <v>25</v>
      </c>
      <c r="I467" s="192">
        <f>G467</f>
        <v>1250000</v>
      </c>
      <c r="J467" s="301">
        <f t="shared" si="114"/>
        <v>25</v>
      </c>
      <c r="K467" s="331">
        <f t="shared" si="111"/>
        <v>0.33333333333333331</v>
      </c>
      <c r="L467" s="311">
        <f t="shared" si="112"/>
        <v>25</v>
      </c>
      <c r="M467" s="132"/>
    </row>
    <row r="468" spans="1:13">
      <c r="A468" s="44"/>
      <c r="B468" s="47">
        <v>15</v>
      </c>
      <c r="C468" s="48" t="s">
        <v>40</v>
      </c>
      <c r="D468" s="34">
        <v>3000000</v>
      </c>
      <c r="E468" s="117">
        <v>0</v>
      </c>
      <c r="F468" s="132">
        <v>0</v>
      </c>
      <c r="G468" s="192">
        <f>260000+140000</f>
        <v>400000</v>
      </c>
      <c r="H468" s="299">
        <f t="shared" si="110"/>
        <v>13.333333333333334</v>
      </c>
      <c r="I468" s="192">
        <f t="shared" ref="I468:I469" si="116">G468</f>
        <v>400000</v>
      </c>
      <c r="J468" s="301">
        <f t="shared" si="114"/>
        <v>13.333333333333334</v>
      </c>
      <c r="K468" s="331">
        <f t="shared" si="111"/>
        <v>0.33333333333333331</v>
      </c>
      <c r="L468" s="311">
        <f t="shared" si="112"/>
        <v>13.333333333333334</v>
      </c>
      <c r="M468" s="132"/>
    </row>
    <row r="469" spans="1:13">
      <c r="A469" s="44"/>
      <c r="B469" s="47">
        <v>17</v>
      </c>
      <c r="C469" s="48" t="s">
        <v>41</v>
      </c>
      <c r="D469" s="34">
        <v>5000000</v>
      </c>
      <c r="E469" s="117">
        <v>0</v>
      </c>
      <c r="F469" s="132">
        <v>0</v>
      </c>
      <c r="G469" s="192">
        <f>1000000+250000</f>
        <v>1250000</v>
      </c>
      <c r="H469" s="299">
        <f t="shared" si="110"/>
        <v>25</v>
      </c>
      <c r="I469" s="192">
        <f t="shared" si="116"/>
        <v>1250000</v>
      </c>
      <c r="J469" s="301">
        <f t="shared" si="114"/>
        <v>25</v>
      </c>
      <c r="K469" s="331">
        <f t="shared" si="111"/>
        <v>0.33333333333333331</v>
      </c>
      <c r="L469" s="311">
        <f t="shared" si="112"/>
        <v>25</v>
      </c>
      <c r="M469" s="132"/>
    </row>
    <row r="470" spans="1:13">
      <c r="A470" s="44"/>
      <c r="B470" s="47">
        <v>17</v>
      </c>
      <c r="C470" s="48" t="s">
        <v>42</v>
      </c>
      <c r="D470" s="34">
        <v>7000000</v>
      </c>
      <c r="E470" s="117">
        <v>0</v>
      </c>
      <c r="F470" s="132">
        <v>0</v>
      </c>
      <c r="G470" s="192">
        <f>1200000+400000</f>
        <v>1600000</v>
      </c>
      <c r="H470" s="299">
        <f t="shared" si="110"/>
        <v>22.857142857142858</v>
      </c>
      <c r="I470" s="192">
        <f>G470</f>
        <v>1600000</v>
      </c>
      <c r="J470" s="301">
        <f>I470/D470*100</f>
        <v>22.857142857142858</v>
      </c>
      <c r="K470" s="331">
        <f t="shared" si="111"/>
        <v>0.33333333333333331</v>
      </c>
      <c r="L470" s="311">
        <f t="shared" si="112"/>
        <v>22.857142857142858</v>
      </c>
      <c r="M470" s="132"/>
    </row>
    <row r="471" spans="1:13">
      <c r="A471" s="44"/>
      <c r="B471" s="47">
        <v>18</v>
      </c>
      <c r="C471" s="48" t="s">
        <v>43</v>
      </c>
      <c r="D471" s="34">
        <v>15000000</v>
      </c>
      <c r="E471" s="117">
        <v>0</v>
      </c>
      <c r="F471" s="132">
        <v>0</v>
      </c>
      <c r="G471" s="192">
        <f>1450000+375000+1525000</f>
        <v>3350000</v>
      </c>
      <c r="H471" s="299">
        <f t="shared" si="110"/>
        <v>22.333333333333332</v>
      </c>
      <c r="I471" s="192">
        <f>G471</f>
        <v>3350000</v>
      </c>
      <c r="J471" s="301">
        <f t="shared" ref="J471:J472" si="117">I471/D471*100</f>
        <v>22.333333333333332</v>
      </c>
      <c r="K471" s="331">
        <f t="shared" si="111"/>
        <v>0.33333333333333331</v>
      </c>
      <c r="L471" s="311">
        <f t="shared" si="112"/>
        <v>22.333333333333332</v>
      </c>
      <c r="M471" s="132"/>
    </row>
    <row r="472" spans="1:13" ht="15.75" thickBot="1">
      <c r="A472" s="44"/>
      <c r="B472" s="49">
        <v>19</v>
      </c>
      <c r="C472" s="50" t="s">
        <v>44</v>
      </c>
      <c r="D472" s="51">
        <v>51212000</v>
      </c>
      <c r="E472" s="298"/>
      <c r="F472" s="133">
        <v>0</v>
      </c>
      <c r="G472" s="192">
        <v>15879000</v>
      </c>
      <c r="H472" s="300">
        <f t="shared" si="110"/>
        <v>31.006404748886979</v>
      </c>
      <c r="I472" s="192">
        <f t="shared" ref="I472" si="118">G472</f>
        <v>15879000</v>
      </c>
      <c r="J472" s="301">
        <f t="shared" si="117"/>
        <v>31.006404748886979</v>
      </c>
      <c r="K472" s="331">
        <f t="shared" si="111"/>
        <v>0.33333333333333331</v>
      </c>
      <c r="L472" s="311">
        <f t="shared" si="112"/>
        <v>31.006404748886979</v>
      </c>
      <c r="M472" s="133"/>
    </row>
    <row r="473" spans="1:13" ht="15.75" thickBot="1">
      <c r="A473" s="35"/>
      <c r="B473" s="52"/>
      <c r="C473" s="37" t="s">
        <v>45</v>
      </c>
      <c r="D473" s="53">
        <f>SUM(D458:D472)</f>
        <v>170212000</v>
      </c>
      <c r="E473" s="53">
        <f>SUM(E458:E472)</f>
        <v>0</v>
      </c>
      <c r="F473" s="53">
        <f t="shared" ref="F473" si="119">SUM(F458:F472)</f>
        <v>0</v>
      </c>
      <c r="G473" s="53">
        <f>SUM(G458:G472)</f>
        <v>39252469</v>
      </c>
      <c r="H473" s="214">
        <f>G473/D473*100</f>
        <v>23.060929311681903</v>
      </c>
      <c r="I473" s="194">
        <f t="shared" ref="I473" si="120">SUM(I458:I472)</f>
        <v>39252469</v>
      </c>
      <c r="J473" s="214">
        <f>I473/D473*100</f>
        <v>23.060929311681903</v>
      </c>
      <c r="K473" s="332">
        <f>4/12</f>
        <v>0.33333333333333331</v>
      </c>
      <c r="L473" s="214">
        <f>J473</f>
        <v>23.060929311681903</v>
      </c>
      <c r="M473" s="53"/>
    </row>
    <row r="474" spans="1:13">
      <c r="A474" s="54" t="s">
        <v>29</v>
      </c>
      <c r="B474" s="55" t="s">
        <v>90</v>
      </c>
      <c r="C474" s="56"/>
      <c r="D474" s="57"/>
      <c r="E474" s="119"/>
      <c r="F474" s="131"/>
      <c r="G474" s="152"/>
      <c r="H474" s="152"/>
      <c r="I474" s="119"/>
      <c r="J474" s="152"/>
      <c r="K474" s="152"/>
      <c r="L474" s="152"/>
      <c r="M474" s="131"/>
    </row>
    <row r="475" spans="1:13">
      <c r="A475" s="279"/>
      <c r="B475" s="47" t="s">
        <v>53</v>
      </c>
      <c r="C475" s="46" t="s">
        <v>216</v>
      </c>
      <c r="D475" s="80">
        <v>40000000</v>
      </c>
      <c r="E475" s="119"/>
      <c r="F475" s="131"/>
      <c r="G475" s="152"/>
      <c r="H475" s="152"/>
      <c r="I475" s="119"/>
      <c r="J475" s="152"/>
      <c r="K475" s="331">
        <f t="shared" ref="K475:K482" si="121">4/12</f>
        <v>0.33333333333333331</v>
      </c>
      <c r="L475" s="152">
        <v>0</v>
      </c>
      <c r="M475" s="131"/>
    </row>
    <row r="476" spans="1:13">
      <c r="A476" s="44"/>
      <c r="B476" s="47" t="s">
        <v>46</v>
      </c>
      <c r="C476" s="58" t="s">
        <v>110</v>
      </c>
      <c r="D476" s="59">
        <v>20000000</v>
      </c>
      <c r="E476" s="120">
        <v>0</v>
      </c>
      <c r="F476" s="132">
        <v>0</v>
      </c>
      <c r="G476" s="119">
        <v>0</v>
      </c>
      <c r="H476" s="59" t="s">
        <v>132</v>
      </c>
      <c r="I476" s="119">
        <f>G476</f>
        <v>0</v>
      </c>
      <c r="J476" s="59" t="s">
        <v>132</v>
      </c>
      <c r="K476" s="331">
        <f t="shared" si="121"/>
        <v>0.33333333333333331</v>
      </c>
      <c r="L476" s="59">
        <v>0</v>
      </c>
      <c r="M476" s="132"/>
    </row>
    <row r="477" spans="1:13">
      <c r="A477" s="44"/>
      <c r="B477" s="47">
        <v>21</v>
      </c>
      <c r="C477" s="48" t="s">
        <v>47</v>
      </c>
      <c r="D477" s="59">
        <v>30000000</v>
      </c>
      <c r="E477" s="120">
        <v>0</v>
      </c>
      <c r="F477" s="132">
        <v>0</v>
      </c>
      <c r="G477" s="206">
        <v>30000000</v>
      </c>
      <c r="H477" s="299">
        <f t="shared" ref="H477:H481" si="122">G477/D477*100</f>
        <v>100</v>
      </c>
      <c r="I477" s="119">
        <f t="shared" ref="I477:I478" si="123">G477</f>
        <v>30000000</v>
      </c>
      <c r="J477" s="301">
        <f t="shared" ref="J477:J482" si="124">I477/D477*100</f>
        <v>100</v>
      </c>
      <c r="K477" s="331">
        <f t="shared" si="121"/>
        <v>0.33333333333333331</v>
      </c>
      <c r="L477" s="311">
        <f t="shared" ref="L477:L478" si="125">J477</f>
        <v>100</v>
      </c>
      <c r="M477" s="132"/>
    </row>
    <row r="478" spans="1:13">
      <c r="A478" s="44"/>
      <c r="B478" s="47">
        <v>22</v>
      </c>
      <c r="C478" s="48" t="s">
        <v>48</v>
      </c>
      <c r="D478" s="60">
        <v>30000000</v>
      </c>
      <c r="E478" s="120">
        <v>0</v>
      </c>
      <c r="F478" s="132">
        <v>0</v>
      </c>
      <c r="G478" s="206">
        <v>30000000</v>
      </c>
      <c r="H478" s="299">
        <f t="shared" si="122"/>
        <v>100</v>
      </c>
      <c r="I478" s="119">
        <f t="shared" si="123"/>
        <v>30000000</v>
      </c>
      <c r="J478" s="301">
        <f t="shared" si="124"/>
        <v>100</v>
      </c>
      <c r="K478" s="331">
        <f t="shared" si="121"/>
        <v>0.33333333333333331</v>
      </c>
      <c r="L478" s="311">
        <f t="shared" si="125"/>
        <v>100</v>
      </c>
      <c r="M478" s="154"/>
    </row>
    <row r="479" spans="1:13">
      <c r="A479" s="44"/>
      <c r="B479" s="47">
        <v>24</v>
      </c>
      <c r="C479" s="48" t="s">
        <v>49</v>
      </c>
      <c r="D479" s="60">
        <v>35000000</v>
      </c>
      <c r="E479" s="120">
        <v>0</v>
      </c>
      <c r="F479" s="132">
        <v>0</v>
      </c>
      <c r="G479" s="206">
        <f>6051250+1700000</f>
        <v>7751250</v>
      </c>
      <c r="H479" s="299">
        <f t="shared" si="122"/>
        <v>22.146428571428572</v>
      </c>
      <c r="I479" s="192">
        <f>G479</f>
        <v>7751250</v>
      </c>
      <c r="J479" s="301">
        <f t="shared" si="124"/>
        <v>22.146428571428572</v>
      </c>
      <c r="K479" s="331">
        <f t="shared" si="121"/>
        <v>0.33333333333333331</v>
      </c>
      <c r="L479" s="311">
        <f>J479</f>
        <v>22.146428571428572</v>
      </c>
      <c r="M479" s="132"/>
    </row>
    <row r="480" spans="1:13">
      <c r="A480" s="44"/>
      <c r="B480" s="47">
        <v>26</v>
      </c>
      <c r="C480" s="48" t="s">
        <v>50</v>
      </c>
      <c r="D480" s="60">
        <v>4000000</v>
      </c>
      <c r="E480" s="120">
        <v>0</v>
      </c>
      <c r="F480" s="132">
        <v>0</v>
      </c>
      <c r="G480" s="206">
        <v>1000000</v>
      </c>
      <c r="H480" s="299">
        <f t="shared" si="122"/>
        <v>25</v>
      </c>
      <c r="I480" s="192">
        <f>G480</f>
        <v>1000000</v>
      </c>
      <c r="J480" s="301">
        <f t="shared" si="124"/>
        <v>25</v>
      </c>
      <c r="K480" s="331">
        <f t="shared" si="121"/>
        <v>0.33333333333333331</v>
      </c>
      <c r="L480" s="311">
        <f t="shared" ref="L480:L482" si="126">J480</f>
        <v>25</v>
      </c>
      <c r="M480" s="132"/>
    </row>
    <row r="481" spans="1:13">
      <c r="A481" s="44"/>
      <c r="B481" s="47">
        <v>28</v>
      </c>
      <c r="C481" s="48" t="s">
        <v>51</v>
      </c>
      <c r="D481" s="60">
        <v>12000000</v>
      </c>
      <c r="E481" s="120">
        <v>0</v>
      </c>
      <c r="F481" s="132">
        <v>0</v>
      </c>
      <c r="G481" s="206">
        <f>300000+300000+2250000</f>
        <v>2850000</v>
      </c>
      <c r="H481" s="299">
        <f t="shared" si="122"/>
        <v>23.75</v>
      </c>
      <c r="I481" s="192">
        <f t="shared" ref="I481:I482" si="127">G481</f>
        <v>2850000</v>
      </c>
      <c r="J481" s="301">
        <f t="shared" si="124"/>
        <v>23.75</v>
      </c>
      <c r="K481" s="331">
        <f t="shared" si="121"/>
        <v>0.33333333333333331</v>
      </c>
      <c r="L481" s="311">
        <f t="shared" si="126"/>
        <v>23.75</v>
      </c>
      <c r="M481" s="132"/>
    </row>
    <row r="482" spans="1:13">
      <c r="A482" s="44"/>
      <c r="B482" s="61">
        <v>29</v>
      </c>
      <c r="C482" s="50" t="s">
        <v>52</v>
      </c>
      <c r="D482" s="62">
        <v>2000000</v>
      </c>
      <c r="E482" s="121">
        <v>0</v>
      </c>
      <c r="F482" s="133">
        <v>0</v>
      </c>
      <c r="G482" s="197">
        <f>200000+100000</f>
        <v>300000</v>
      </c>
      <c r="H482" s="312">
        <f>G482/D482*100</f>
        <v>15</v>
      </c>
      <c r="I482" s="313">
        <f t="shared" si="127"/>
        <v>300000</v>
      </c>
      <c r="J482" s="314">
        <f t="shared" si="124"/>
        <v>15</v>
      </c>
      <c r="K482" s="331">
        <f t="shared" si="121"/>
        <v>0.33333333333333331</v>
      </c>
      <c r="L482" s="311">
        <f t="shared" si="126"/>
        <v>15</v>
      </c>
      <c r="M482" s="133"/>
    </row>
    <row r="483" spans="1:13">
      <c r="A483" s="63"/>
      <c r="B483" s="64"/>
      <c r="C483" s="65" t="s">
        <v>45</v>
      </c>
      <c r="D483" s="66">
        <f>SUM(D475:D482)</f>
        <v>173000000</v>
      </c>
      <c r="E483" s="122"/>
      <c r="F483" s="66"/>
      <c r="G483" s="285">
        <f>SUM(G475:G482)</f>
        <v>71901250</v>
      </c>
      <c r="H483" s="323">
        <f>G483/D483*100</f>
        <v>41.561416184971101</v>
      </c>
      <c r="I483" s="286">
        <f>SUM(I475:I482)</f>
        <v>71901250</v>
      </c>
      <c r="J483" s="323">
        <f>I483/D483*100</f>
        <v>41.561416184971101</v>
      </c>
      <c r="K483" s="333">
        <f>4/12</f>
        <v>0.33333333333333331</v>
      </c>
      <c r="L483" s="302">
        <f>J483</f>
        <v>41.561416184971101</v>
      </c>
      <c r="M483" s="66"/>
    </row>
    <row r="484" spans="1:13">
      <c r="A484" s="67" t="s">
        <v>53</v>
      </c>
      <c r="B484" s="68" t="s">
        <v>54</v>
      </c>
      <c r="C484" s="69"/>
      <c r="D484" s="70"/>
      <c r="E484" s="123"/>
      <c r="F484" s="134"/>
      <c r="G484" s="164"/>
      <c r="H484" s="148"/>
      <c r="I484" s="164"/>
      <c r="J484" s="152"/>
      <c r="K484" s="152"/>
      <c r="L484" s="156"/>
      <c r="M484" s="134"/>
    </row>
    <row r="485" spans="1:13">
      <c r="A485" s="44"/>
      <c r="B485" s="47" t="s">
        <v>26</v>
      </c>
      <c r="C485" s="48" t="s">
        <v>55</v>
      </c>
      <c r="D485" s="60">
        <v>25000000</v>
      </c>
      <c r="E485" s="120">
        <v>0</v>
      </c>
      <c r="F485" s="208">
        <v>0</v>
      </c>
      <c r="G485" s="197" t="s">
        <v>132</v>
      </c>
      <c r="H485" s="59" t="s">
        <v>132</v>
      </c>
      <c r="I485" s="197" t="s">
        <v>132</v>
      </c>
      <c r="J485" s="59" t="s">
        <v>132</v>
      </c>
      <c r="K485" s="59">
        <v>0</v>
      </c>
      <c r="L485" s="59">
        <v>0</v>
      </c>
      <c r="M485" s="132"/>
    </row>
    <row r="486" spans="1:13">
      <c r="A486" s="63"/>
      <c r="B486" s="71"/>
      <c r="C486" s="65" t="s">
        <v>45</v>
      </c>
      <c r="D486" s="66">
        <f>SUM(D485:D485)</f>
        <v>25000000</v>
      </c>
      <c r="E486" s="122">
        <f>SUM(E485:E485)</f>
        <v>0</v>
      </c>
      <c r="F486" s="202">
        <f>SUM(F485:F485)</f>
        <v>0</v>
      </c>
      <c r="G486" s="122" t="s">
        <v>132</v>
      </c>
      <c r="H486" s="66" t="s">
        <v>132</v>
      </c>
      <c r="I486" s="122" t="s">
        <v>132</v>
      </c>
      <c r="J486" s="155" t="s">
        <v>132</v>
      </c>
      <c r="K486" s="66">
        <f>SUM(K485:K485)</f>
        <v>0</v>
      </c>
      <c r="L486" s="66">
        <f>SUM(L485:L485)</f>
        <v>0</v>
      </c>
      <c r="M486" s="66"/>
    </row>
    <row r="487" spans="1:13">
      <c r="A487" s="44">
        <v>15</v>
      </c>
      <c r="B487" s="72" t="s">
        <v>61</v>
      </c>
      <c r="C487" s="73"/>
      <c r="D487" s="57"/>
      <c r="E487" s="119"/>
      <c r="F487" s="209"/>
      <c r="G487" s="119" t="s">
        <v>132</v>
      </c>
      <c r="H487" s="152" t="s">
        <v>132</v>
      </c>
      <c r="I487" s="119" t="s">
        <v>132</v>
      </c>
      <c r="J487" s="152" t="s">
        <v>132</v>
      </c>
      <c r="K487" s="152"/>
      <c r="L487" s="152"/>
      <c r="M487" s="131"/>
    </row>
    <row r="488" spans="1:13">
      <c r="A488" s="44"/>
      <c r="B488" s="47">
        <v>18</v>
      </c>
      <c r="C488" s="48" t="s">
        <v>62</v>
      </c>
      <c r="D488" s="60">
        <v>5000000</v>
      </c>
      <c r="E488" s="120">
        <v>0</v>
      </c>
      <c r="F488" s="208">
        <v>0</v>
      </c>
      <c r="G488" s="120" t="s">
        <v>132</v>
      </c>
      <c r="H488" s="59" t="s">
        <v>132</v>
      </c>
      <c r="I488" s="120" t="s">
        <v>132</v>
      </c>
      <c r="J488" s="59" t="s">
        <v>132</v>
      </c>
      <c r="K488" s="331">
        <f t="shared" ref="K488:K493" si="128">4/12</f>
        <v>0.33333333333333331</v>
      </c>
      <c r="L488" s="59">
        <v>0</v>
      </c>
      <c r="M488" s="132"/>
    </row>
    <row r="489" spans="1:13" ht="25.5">
      <c r="A489" s="44"/>
      <c r="B489" s="49">
        <v>63</v>
      </c>
      <c r="C489" s="244" t="s">
        <v>63</v>
      </c>
      <c r="D489" s="62">
        <v>5000000</v>
      </c>
      <c r="E489" s="121">
        <v>0</v>
      </c>
      <c r="F489" s="210">
        <v>0</v>
      </c>
      <c r="G489" s="121" t="s">
        <v>132</v>
      </c>
      <c r="H489" s="153" t="s">
        <v>132</v>
      </c>
      <c r="I489" s="121" t="s">
        <v>132</v>
      </c>
      <c r="J489" s="153" t="s">
        <v>132</v>
      </c>
      <c r="K489" s="349">
        <f t="shared" si="128"/>
        <v>0.33333333333333331</v>
      </c>
      <c r="L489" s="153">
        <v>0</v>
      </c>
      <c r="M489" s="133"/>
    </row>
    <row r="490" spans="1:13">
      <c r="A490" s="63"/>
      <c r="B490" s="64"/>
      <c r="C490" s="65" t="s">
        <v>45</v>
      </c>
      <c r="D490" s="66">
        <f>SUM(D488:D489)</f>
        <v>10000000</v>
      </c>
      <c r="E490" s="122">
        <f t="shared" ref="E490" si="129">SUM(E488:E489)</f>
        <v>0</v>
      </c>
      <c r="F490" s="202">
        <f>SUM(F488:F489)</f>
        <v>0</v>
      </c>
      <c r="G490" s="195" t="s">
        <v>132</v>
      </c>
      <c r="H490" s="66" t="s">
        <v>132</v>
      </c>
      <c r="I490" s="195" t="s">
        <v>132</v>
      </c>
      <c r="J490" s="155" t="s">
        <v>132</v>
      </c>
      <c r="K490" s="356">
        <f t="shared" si="128"/>
        <v>0.33333333333333331</v>
      </c>
      <c r="L490" s="66">
        <f t="shared" ref="L490" si="130">SUM(L488:L489)</f>
        <v>0</v>
      </c>
      <c r="M490" s="66"/>
    </row>
    <row r="491" spans="1:13">
      <c r="A491" s="44">
        <v>30</v>
      </c>
      <c r="B491" s="77" t="s">
        <v>64</v>
      </c>
      <c r="C491" s="78"/>
      <c r="D491" s="57"/>
      <c r="E491" s="119"/>
      <c r="F491" s="209"/>
      <c r="G491" s="119"/>
      <c r="H491" s="152"/>
      <c r="I491" s="119"/>
      <c r="J491" s="152"/>
      <c r="K491" s="152"/>
      <c r="L491" s="152"/>
      <c r="M491" s="131"/>
    </row>
    <row r="492" spans="1:13">
      <c r="A492" s="44"/>
      <c r="B492" s="45">
        <v>2</v>
      </c>
      <c r="C492" s="79" t="s">
        <v>102</v>
      </c>
      <c r="D492" s="80">
        <v>200000000</v>
      </c>
      <c r="E492" s="124">
        <v>0</v>
      </c>
      <c r="F492" s="209">
        <v>0</v>
      </c>
      <c r="G492" s="124">
        <v>0</v>
      </c>
      <c r="H492" s="152">
        <v>0</v>
      </c>
      <c r="I492" s="120" t="s">
        <v>132</v>
      </c>
      <c r="J492" s="152" t="s">
        <v>132</v>
      </c>
      <c r="K492" s="355">
        <f t="shared" si="128"/>
        <v>0.33333333333333331</v>
      </c>
      <c r="L492" s="152"/>
      <c r="M492" s="131"/>
    </row>
    <row r="493" spans="1:13">
      <c r="A493" s="63"/>
      <c r="B493" s="64"/>
      <c r="C493" s="65" t="s">
        <v>45</v>
      </c>
      <c r="D493" s="66">
        <f>SUM(D491:D492)</f>
        <v>200000000</v>
      </c>
      <c r="E493" s="66">
        <f>SUM(E491:E492)</f>
        <v>0</v>
      </c>
      <c r="F493" s="202">
        <f>SUM(F491:F492)</f>
        <v>0</v>
      </c>
      <c r="G493" s="122" t="s">
        <v>132</v>
      </c>
      <c r="H493" s="66" t="s">
        <v>132</v>
      </c>
      <c r="I493" s="122" t="s">
        <v>132</v>
      </c>
      <c r="J493" s="66" t="s">
        <v>132</v>
      </c>
      <c r="K493" s="356">
        <f t="shared" si="128"/>
        <v>0.33333333333333331</v>
      </c>
      <c r="L493" s="66">
        <f t="shared" ref="L493" si="131">SUM(L491:L492)</f>
        <v>0</v>
      </c>
      <c r="M493" s="66"/>
    </row>
    <row r="494" spans="1:13">
      <c r="A494" s="44">
        <v>21</v>
      </c>
      <c r="B494" s="81" t="s">
        <v>65</v>
      </c>
      <c r="C494" s="82"/>
      <c r="D494" s="57"/>
      <c r="E494" s="119"/>
      <c r="F494" s="209"/>
      <c r="G494" s="119"/>
      <c r="H494" s="152"/>
      <c r="I494" s="119"/>
      <c r="J494" s="152"/>
      <c r="K494" s="152"/>
      <c r="L494" s="152"/>
      <c r="M494" s="131"/>
    </row>
    <row r="495" spans="1:13">
      <c r="A495" s="44"/>
      <c r="B495" s="47" t="s">
        <v>46</v>
      </c>
      <c r="C495" s="48" t="s">
        <v>66</v>
      </c>
      <c r="D495" s="60">
        <v>20000000</v>
      </c>
      <c r="E495" s="125">
        <v>0</v>
      </c>
      <c r="F495" s="211">
        <v>0</v>
      </c>
      <c r="G495" s="199">
        <v>20000000</v>
      </c>
      <c r="H495" s="312">
        <f>G495/D495*100</f>
        <v>100</v>
      </c>
      <c r="I495" s="197">
        <f>G495</f>
        <v>20000000</v>
      </c>
      <c r="J495" s="59">
        <f>H495</f>
        <v>100</v>
      </c>
      <c r="K495" s="349">
        <f t="shared" ref="K495:K496" si="132">4/12</f>
        <v>0.33333333333333331</v>
      </c>
      <c r="L495" s="59">
        <f>J495</f>
        <v>100</v>
      </c>
      <c r="M495" s="132"/>
    </row>
    <row r="496" spans="1:13">
      <c r="A496" s="63"/>
      <c r="B496" s="83"/>
      <c r="C496" s="65" t="s">
        <v>45</v>
      </c>
      <c r="D496" s="66">
        <f>SUM(D495:D495)</f>
        <v>20000000</v>
      </c>
      <c r="E496" s="66">
        <f t="shared" ref="E496:F496" si="133">SUM(E493:E495)</f>
        <v>0</v>
      </c>
      <c r="F496" s="202">
        <f t="shared" si="133"/>
        <v>0</v>
      </c>
      <c r="G496" s="122">
        <f>SUM(G495)</f>
        <v>20000000</v>
      </c>
      <c r="H496" s="323">
        <f>G496/D496*100</f>
        <v>100</v>
      </c>
      <c r="I496" s="122">
        <f>SUM(I495)</f>
        <v>20000000</v>
      </c>
      <c r="J496" s="66">
        <f>H496</f>
        <v>100</v>
      </c>
      <c r="K496" s="350">
        <f t="shared" si="132"/>
        <v>0.33333333333333331</v>
      </c>
      <c r="L496" s="66">
        <f t="shared" ref="L496" si="134">SUM(L493:L495)</f>
        <v>100</v>
      </c>
      <c r="M496" s="66"/>
    </row>
    <row r="497" spans="1:13">
      <c r="A497" s="84">
        <v>18</v>
      </c>
      <c r="B497" s="826" t="s">
        <v>96</v>
      </c>
      <c r="C497" s="827"/>
      <c r="D497" s="57"/>
      <c r="E497" s="119"/>
      <c r="F497" s="209"/>
      <c r="G497" s="119"/>
      <c r="H497" s="152"/>
      <c r="I497" s="119"/>
      <c r="J497" s="152"/>
      <c r="K497" s="152"/>
      <c r="L497" s="152"/>
      <c r="M497" s="131"/>
    </row>
    <row r="498" spans="1:13">
      <c r="A498" s="84"/>
      <c r="B498" s="830" t="s">
        <v>95</v>
      </c>
      <c r="C498" s="831"/>
      <c r="D498" s="57"/>
      <c r="E498" s="124"/>
      <c r="F498" s="209"/>
      <c r="G498" s="119"/>
      <c r="H498" s="152"/>
      <c r="I498" s="119"/>
      <c r="J498" s="152"/>
      <c r="K498" s="152"/>
      <c r="L498" s="152"/>
      <c r="M498" s="131"/>
    </row>
    <row r="499" spans="1:13">
      <c r="A499" s="44"/>
      <c r="B499" s="47" t="s">
        <v>26</v>
      </c>
      <c r="C499" s="48" t="s">
        <v>67</v>
      </c>
      <c r="D499" s="60">
        <v>20000000</v>
      </c>
      <c r="E499" s="125">
        <v>0</v>
      </c>
      <c r="F499" s="211">
        <v>0</v>
      </c>
      <c r="G499" s="199" t="s">
        <v>132</v>
      </c>
      <c r="H499" s="59" t="s">
        <v>132</v>
      </c>
      <c r="I499" s="119" t="str">
        <f t="shared" ref="I499" si="135">G499</f>
        <v>-</v>
      </c>
      <c r="J499" s="59" t="s">
        <v>132</v>
      </c>
      <c r="K499" s="59">
        <v>0</v>
      </c>
      <c r="L499" s="59">
        <v>0</v>
      </c>
      <c r="M499" s="132"/>
    </row>
    <row r="500" spans="1:13">
      <c r="A500" s="44"/>
      <c r="B500" s="47" t="s">
        <v>29</v>
      </c>
      <c r="C500" s="204" t="s">
        <v>220</v>
      </c>
      <c r="D500" s="179">
        <v>7000000</v>
      </c>
      <c r="E500" s="180">
        <v>0</v>
      </c>
      <c r="F500" s="181">
        <v>0</v>
      </c>
      <c r="G500" s="207" t="s">
        <v>132</v>
      </c>
      <c r="H500" s="148" t="s">
        <v>132</v>
      </c>
      <c r="I500" s="119" t="s">
        <v>132</v>
      </c>
      <c r="J500" s="148" t="s">
        <v>132</v>
      </c>
      <c r="K500" s="59">
        <v>0</v>
      </c>
      <c r="L500" s="148">
        <v>0</v>
      </c>
      <c r="M500" s="165"/>
    </row>
    <row r="501" spans="1:13">
      <c r="A501" s="44"/>
      <c r="B501" s="47"/>
      <c r="C501" s="48" t="s">
        <v>117</v>
      </c>
      <c r="D501" s="60"/>
      <c r="E501" s="125"/>
      <c r="F501" s="135"/>
      <c r="G501" s="199"/>
      <c r="H501" s="59"/>
      <c r="I501" s="197"/>
      <c r="J501" s="59"/>
      <c r="K501" s="59"/>
      <c r="L501" s="59"/>
      <c r="M501" s="132"/>
    </row>
    <row r="502" spans="1:13">
      <c r="A502" s="63"/>
      <c r="B502" s="71"/>
      <c r="C502" s="65" t="s">
        <v>45</v>
      </c>
      <c r="D502" s="66">
        <f>SUM(D499:D501)</f>
        <v>27000000</v>
      </c>
      <c r="E502" s="66">
        <f t="shared" ref="E502" si="136">SUM(E499:E499)</f>
        <v>0</v>
      </c>
      <c r="F502" s="66">
        <f>SUM(F499:F499)</f>
        <v>0</v>
      </c>
      <c r="G502" s="122" t="s">
        <v>132</v>
      </c>
      <c r="H502" s="66" t="s">
        <v>132</v>
      </c>
      <c r="I502" s="122" t="s">
        <v>132</v>
      </c>
      <c r="J502" s="66" t="s">
        <v>132</v>
      </c>
      <c r="K502" s="66">
        <f>SUM(K499:K501)</f>
        <v>0</v>
      </c>
      <c r="L502" s="66">
        <f t="shared" ref="L502" si="137">SUM(L499:L499)</f>
        <v>0</v>
      </c>
      <c r="M502" s="66"/>
    </row>
    <row r="503" spans="1:13">
      <c r="A503" s="84">
        <v>17</v>
      </c>
      <c r="B503" s="826" t="s">
        <v>130</v>
      </c>
      <c r="C503" s="827"/>
      <c r="D503" s="57"/>
      <c r="E503" s="119"/>
      <c r="F503" s="131"/>
      <c r="G503" s="119"/>
      <c r="H503" s="152"/>
      <c r="I503" s="119"/>
      <c r="J503" s="152"/>
      <c r="K503" s="152"/>
      <c r="L503" s="152"/>
      <c r="M503" s="131"/>
    </row>
    <row r="504" spans="1:13">
      <c r="A504" s="44"/>
      <c r="B504" s="47" t="s">
        <v>53</v>
      </c>
      <c r="C504" s="48" t="s">
        <v>131</v>
      </c>
      <c r="D504" s="60">
        <v>24000000</v>
      </c>
      <c r="E504" s="125">
        <v>0</v>
      </c>
      <c r="F504" s="135">
        <v>0</v>
      </c>
      <c r="G504" s="197" t="s">
        <v>132</v>
      </c>
      <c r="H504" s="59" t="s">
        <v>132</v>
      </c>
      <c r="I504" s="197" t="s">
        <v>132</v>
      </c>
      <c r="J504" s="59" t="s">
        <v>132</v>
      </c>
      <c r="K504" s="59">
        <v>0</v>
      </c>
      <c r="L504" s="59">
        <v>0</v>
      </c>
      <c r="M504" s="132"/>
    </row>
    <row r="505" spans="1:13">
      <c r="A505" s="63"/>
      <c r="B505" s="64"/>
      <c r="C505" s="65" t="s">
        <v>45</v>
      </c>
      <c r="D505" s="66">
        <f>SUM(D504:D504)</f>
        <v>24000000</v>
      </c>
      <c r="E505" s="66">
        <f t="shared" ref="E505:F505" si="138">SUM(E503:E504)</f>
        <v>0</v>
      </c>
      <c r="F505" s="66">
        <f t="shared" si="138"/>
        <v>0</v>
      </c>
      <c r="G505" s="122" t="s">
        <v>132</v>
      </c>
      <c r="H505" s="66" t="s">
        <v>132</v>
      </c>
      <c r="I505" s="122" t="s">
        <v>132</v>
      </c>
      <c r="J505" s="66" t="s">
        <v>132</v>
      </c>
      <c r="K505" s="66">
        <f t="shared" ref="K505:L505" si="139">SUM(K503:K504)</f>
        <v>0</v>
      </c>
      <c r="L505" s="66">
        <f t="shared" si="139"/>
        <v>0</v>
      </c>
      <c r="M505" s="66"/>
    </row>
    <row r="506" spans="1:13">
      <c r="A506" s="44">
        <v>15</v>
      </c>
      <c r="B506" s="542" t="s">
        <v>68</v>
      </c>
      <c r="C506" s="86"/>
      <c r="D506" s="57"/>
      <c r="E506" s="119"/>
      <c r="F506" s="131"/>
      <c r="G506" s="119"/>
      <c r="H506" s="152"/>
      <c r="I506" s="119"/>
      <c r="J506" s="152"/>
      <c r="K506" s="152"/>
      <c r="L506" s="152"/>
      <c r="M506" s="131"/>
    </row>
    <row r="507" spans="1:13" ht="26.25">
      <c r="A507" s="44"/>
      <c r="B507" s="49" t="s">
        <v>80</v>
      </c>
      <c r="C507" s="50" t="s">
        <v>118</v>
      </c>
      <c r="D507" s="62">
        <v>10000000</v>
      </c>
      <c r="E507" s="125">
        <v>0</v>
      </c>
      <c r="F507" s="135">
        <v>0</v>
      </c>
      <c r="G507" s="119" t="s">
        <v>132</v>
      </c>
      <c r="H507" s="59" t="s">
        <v>132</v>
      </c>
      <c r="I507" s="119" t="s">
        <v>132</v>
      </c>
      <c r="J507" s="59" t="s">
        <v>132</v>
      </c>
      <c r="K507" s="339">
        <f t="shared" ref="K507:K509" si="140">4/12</f>
        <v>0.33333333333333331</v>
      </c>
      <c r="L507" s="59">
        <v>0</v>
      </c>
      <c r="M507" s="132"/>
    </row>
    <row r="508" spans="1:13">
      <c r="A508" s="44"/>
      <c r="B508" s="49" t="s">
        <v>69</v>
      </c>
      <c r="C508" s="50" t="s">
        <v>70</v>
      </c>
      <c r="D508" s="62">
        <v>60000000</v>
      </c>
      <c r="E508" s="125">
        <v>0</v>
      </c>
      <c r="F508" s="135">
        <v>0</v>
      </c>
      <c r="G508" s="197" t="s">
        <v>132</v>
      </c>
      <c r="H508" s="59" t="s">
        <v>132</v>
      </c>
      <c r="I508" s="119" t="s">
        <v>132</v>
      </c>
      <c r="J508" s="59" t="s">
        <v>132</v>
      </c>
      <c r="K508" s="349">
        <f t="shared" si="140"/>
        <v>0.33333333333333331</v>
      </c>
      <c r="L508" s="59">
        <v>0</v>
      </c>
      <c r="M508" s="132"/>
    </row>
    <row r="509" spans="1:13">
      <c r="A509" s="63"/>
      <c r="B509" s="64"/>
      <c r="C509" s="65" t="s">
        <v>45</v>
      </c>
      <c r="D509" s="66">
        <f>SUM(D507:D508)</f>
        <v>70000000</v>
      </c>
      <c r="E509" s="66">
        <f>SUM(E505:E508)</f>
        <v>0</v>
      </c>
      <c r="F509" s="66">
        <f>SUM(F505:F508)</f>
        <v>0</v>
      </c>
      <c r="G509" s="122" t="s">
        <v>132</v>
      </c>
      <c r="H509" s="66" t="s">
        <v>132</v>
      </c>
      <c r="I509" s="122" t="s">
        <v>132</v>
      </c>
      <c r="J509" s="66" t="s">
        <v>132</v>
      </c>
      <c r="K509" s="356">
        <f t="shared" si="140"/>
        <v>0.33333333333333331</v>
      </c>
      <c r="L509" s="66">
        <f>SUM(L505:L508)</f>
        <v>0</v>
      </c>
      <c r="M509" s="66"/>
    </row>
    <row r="510" spans="1:13">
      <c r="A510" s="44">
        <v>16</v>
      </c>
      <c r="B510" s="81" t="s">
        <v>71</v>
      </c>
      <c r="C510" s="82"/>
      <c r="D510" s="57"/>
      <c r="E510" s="119"/>
      <c r="F510" s="131"/>
      <c r="G510" s="119"/>
      <c r="H510" s="152"/>
      <c r="I510" s="119"/>
      <c r="J510" s="152"/>
      <c r="K510" s="152"/>
      <c r="L510" s="152"/>
      <c r="M510" s="131"/>
    </row>
    <row r="511" spans="1:13">
      <c r="A511" s="44"/>
      <c r="B511" s="47" t="s">
        <v>72</v>
      </c>
      <c r="C511" s="48" t="s">
        <v>73</v>
      </c>
      <c r="D511" s="60">
        <v>5000000</v>
      </c>
      <c r="E511" s="120">
        <v>0</v>
      </c>
      <c r="F511" s="132">
        <v>0</v>
      </c>
      <c r="G511" s="120">
        <v>5000000</v>
      </c>
      <c r="H511" s="312">
        <f>G511/D511*100</f>
        <v>100</v>
      </c>
      <c r="I511" s="313">
        <f t="shared" ref="I511:I512" si="141">G511</f>
        <v>5000000</v>
      </c>
      <c r="J511" s="314">
        <f t="shared" ref="J511:J512" si="142">I511/D511*100</f>
        <v>100</v>
      </c>
      <c r="K511" s="339">
        <v>0.33333333333333331</v>
      </c>
      <c r="L511" s="311">
        <f>J511</f>
        <v>100</v>
      </c>
      <c r="M511" s="132"/>
    </row>
    <row r="512" spans="1:13">
      <c r="A512" s="63"/>
      <c r="B512" s="83"/>
      <c r="C512" s="65" t="s">
        <v>45</v>
      </c>
      <c r="D512" s="66">
        <f>SUM(D511:D511)</f>
        <v>5000000</v>
      </c>
      <c r="E512" s="122">
        <f>SUM(E511:E511)</f>
        <v>0</v>
      </c>
      <c r="F512" s="66">
        <f>SUM(F511:F511)</f>
        <v>0</v>
      </c>
      <c r="G512" s="195">
        <f>G511</f>
        <v>5000000</v>
      </c>
      <c r="H512" s="310">
        <f>G512/D512*100</f>
        <v>100</v>
      </c>
      <c r="I512" s="192">
        <f t="shared" si="141"/>
        <v>5000000</v>
      </c>
      <c r="J512" s="311">
        <f t="shared" si="142"/>
        <v>100</v>
      </c>
      <c r="K512" s="333">
        <f>SUM(K511)</f>
        <v>0.33333333333333331</v>
      </c>
      <c r="L512" s="302">
        <f>SUM(L511)</f>
        <v>100</v>
      </c>
      <c r="M512" s="66"/>
    </row>
    <row r="513" spans="1:13">
      <c r="A513" s="87" t="s">
        <v>69</v>
      </c>
      <c r="B513" s="826" t="s">
        <v>89</v>
      </c>
      <c r="C513" s="827"/>
      <c r="D513" s="70"/>
      <c r="E513" s="123"/>
      <c r="F513" s="134"/>
      <c r="G513" s="123"/>
      <c r="H513" s="156"/>
      <c r="I513" s="123"/>
      <c r="J513" s="156"/>
      <c r="K513" s="156"/>
      <c r="L513" s="156"/>
      <c r="M513" s="134"/>
    </row>
    <row r="514" spans="1:13">
      <c r="A514" s="88"/>
      <c r="B514" s="830" t="s">
        <v>88</v>
      </c>
      <c r="C514" s="831"/>
      <c r="D514" s="57"/>
      <c r="E514" s="119"/>
      <c r="F514" s="131"/>
      <c r="G514" s="119"/>
      <c r="H514" s="152"/>
      <c r="I514" s="119"/>
      <c r="J514" s="152"/>
      <c r="K514" s="152"/>
      <c r="L514" s="152"/>
      <c r="M514" s="131"/>
    </row>
    <row r="515" spans="1:13">
      <c r="A515" s="89"/>
      <c r="B515" s="61" t="s">
        <v>26</v>
      </c>
      <c r="C515" s="90" t="s">
        <v>74</v>
      </c>
      <c r="D515" s="91">
        <v>15000000</v>
      </c>
      <c r="E515" s="126">
        <v>0</v>
      </c>
      <c r="F515" s="136">
        <v>0</v>
      </c>
      <c r="G515" s="126">
        <v>15000000</v>
      </c>
      <c r="H515" s="312">
        <f>G515/D515*100</f>
        <v>100</v>
      </c>
      <c r="I515" s="313">
        <f t="shared" ref="I515:I516" si="143">G515</f>
        <v>15000000</v>
      </c>
      <c r="J515" s="314">
        <f t="shared" ref="J515:J516" si="144">I515/D515*100</f>
        <v>100</v>
      </c>
      <c r="K515" s="339">
        <v>0.33333333333333331</v>
      </c>
      <c r="L515" s="311">
        <f>J515</f>
        <v>100</v>
      </c>
      <c r="M515" s="136"/>
    </row>
    <row r="516" spans="1:13">
      <c r="A516" s="63"/>
      <c r="B516" s="83"/>
      <c r="C516" s="65" t="s">
        <v>45</v>
      </c>
      <c r="D516" s="66">
        <f>SUM(D515:D515)</f>
        <v>15000000</v>
      </c>
      <c r="E516" s="122">
        <f>SUM(E515:E515)</f>
        <v>0</v>
      </c>
      <c r="F516" s="66">
        <f>SUM(F515:F515)</f>
        <v>0</v>
      </c>
      <c r="G516" s="126">
        <f>SUM(G515)</f>
        <v>15000000</v>
      </c>
      <c r="H516" s="316">
        <f>G516/D516*100</f>
        <v>100</v>
      </c>
      <c r="I516" s="315">
        <f t="shared" si="143"/>
        <v>15000000</v>
      </c>
      <c r="J516" s="317">
        <f t="shared" si="144"/>
        <v>100</v>
      </c>
      <c r="K516" s="333">
        <f>SUM(K515)</f>
        <v>0.33333333333333331</v>
      </c>
      <c r="L516" s="302">
        <f>SUM(L515)</f>
        <v>100</v>
      </c>
      <c r="M516" s="66"/>
    </row>
    <row r="517" spans="1:13">
      <c r="A517" s="88"/>
      <c r="B517" s="826" t="s">
        <v>94</v>
      </c>
      <c r="C517" s="827"/>
      <c r="D517" s="57"/>
      <c r="E517" s="119"/>
      <c r="F517" s="131"/>
      <c r="G517" s="119"/>
      <c r="H517" s="152"/>
      <c r="I517" s="119"/>
      <c r="J517" s="152"/>
      <c r="K517" s="152"/>
      <c r="L517" s="152"/>
      <c r="M517" s="131"/>
    </row>
    <row r="518" spans="1:13">
      <c r="A518" s="84"/>
      <c r="B518" s="92" t="s">
        <v>26</v>
      </c>
      <c r="C518" s="48" t="s">
        <v>134</v>
      </c>
      <c r="D518" s="60">
        <v>4000000</v>
      </c>
      <c r="E518" s="125">
        <v>0</v>
      </c>
      <c r="F518" s="135">
        <v>0</v>
      </c>
      <c r="G518" s="197" t="s">
        <v>132</v>
      </c>
      <c r="H518" s="59" t="s">
        <v>132</v>
      </c>
      <c r="I518" s="197" t="s">
        <v>132</v>
      </c>
      <c r="J518" s="59" t="s">
        <v>132</v>
      </c>
      <c r="K518" s="355">
        <f>4/12</f>
        <v>0.33333333333333331</v>
      </c>
      <c r="L518" s="59">
        <v>0</v>
      </c>
      <c r="M518" s="132"/>
    </row>
    <row r="519" spans="1:13">
      <c r="A519" s="93"/>
      <c r="B519" s="64"/>
      <c r="C519" s="65" t="s">
        <v>45</v>
      </c>
      <c r="D519" s="66">
        <f>SUM(D518:D518)</f>
        <v>4000000</v>
      </c>
      <c r="E519" s="66">
        <f t="shared" ref="E519:F519" si="145">SUM(E513:E518)</f>
        <v>0</v>
      </c>
      <c r="F519" s="66">
        <f t="shared" si="145"/>
        <v>0</v>
      </c>
      <c r="G519" s="122" t="s">
        <v>132</v>
      </c>
      <c r="H519" s="66" t="s">
        <v>132</v>
      </c>
      <c r="I519" s="122" t="s">
        <v>132</v>
      </c>
      <c r="J519" s="66" t="s">
        <v>132</v>
      </c>
      <c r="K519" s="356">
        <f>4/12</f>
        <v>0.33333333333333331</v>
      </c>
      <c r="L519" s="66">
        <v>0</v>
      </c>
      <c r="M519" s="66"/>
    </row>
    <row r="520" spans="1:13">
      <c r="A520" s="84">
        <v>16</v>
      </c>
      <c r="B520" s="826" t="s">
        <v>75</v>
      </c>
      <c r="C520" s="827"/>
      <c r="D520" s="57"/>
      <c r="E520" s="119"/>
      <c r="F520" s="131"/>
      <c r="G520" s="119"/>
      <c r="H520" s="156"/>
      <c r="I520" s="123"/>
      <c r="J520" s="152"/>
      <c r="K520" s="152"/>
      <c r="L520" s="152"/>
      <c r="M520" s="131"/>
    </row>
    <row r="521" spans="1:13">
      <c r="A521" s="84"/>
      <c r="B521" s="94" t="s">
        <v>72</v>
      </c>
      <c r="C521" s="95" t="s">
        <v>103</v>
      </c>
      <c r="D521" s="80">
        <v>10000000</v>
      </c>
      <c r="E521" s="124"/>
      <c r="F521" s="131"/>
      <c r="G521" s="218">
        <v>3000000</v>
      </c>
      <c r="H521" s="312">
        <f>G521/D521*100</f>
        <v>30</v>
      </c>
      <c r="I521" s="313">
        <f t="shared" ref="I521" si="146">G521</f>
        <v>3000000</v>
      </c>
      <c r="J521" s="314">
        <f t="shared" ref="J521" si="147">I521/D521*100</f>
        <v>30</v>
      </c>
      <c r="K521" s="339">
        <v>0.33333333333333331</v>
      </c>
      <c r="L521" s="311">
        <f>J521</f>
        <v>30</v>
      </c>
      <c r="M521" s="131"/>
    </row>
    <row r="522" spans="1:13">
      <c r="A522" s="93"/>
      <c r="B522" s="83"/>
      <c r="C522" s="65" t="s">
        <v>45</v>
      </c>
      <c r="D522" s="66">
        <f>SUM(D521)</f>
        <v>10000000</v>
      </c>
      <c r="E522" s="66">
        <f t="shared" ref="E522:F522" si="148">SUM(E520:E521)</f>
        <v>0</v>
      </c>
      <c r="F522" s="66">
        <f t="shared" si="148"/>
        <v>0</v>
      </c>
      <c r="G522" s="122">
        <f>SUM(G521)</f>
        <v>3000000</v>
      </c>
      <c r="H522" s="302">
        <f t="shared" ref="H522:L522" si="149">SUM(H521)</f>
        <v>30</v>
      </c>
      <c r="I522" s="122">
        <f t="shared" si="149"/>
        <v>3000000</v>
      </c>
      <c r="J522" s="302">
        <f t="shared" si="149"/>
        <v>30</v>
      </c>
      <c r="K522" s="333">
        <f>SUM(K521)</f>
        <v>0.33333333333333331</v>
      </c>
      <c r="L522" s="302">
        <f t="shared" si="149"/>
        <v>30</v>
      </c>
      <c r="M522" s="66"/>
    </row>
    <row r="523" spans="1:13">
      <c r="A523" s="84">
        <v>22</v>
      </c>
      <c r="B523" s="826" t="s">
        <v>87</v>
      </c>
      <c r="C523" s="827"/>
      <c r="D523" s="57"/>
      <c r="E523" s="119"/>
      <c r="F523" s="131"/>
      <c r="G523" s="119"/>
      <c r="H523" s="152"/>
      <c r="I523" s="119"/>
      <c r="J523" s="152"/>
      <c r="K523" s="152"/>
      <c r="L523" s="152"/>
      <c r="M523" s="131"/>
    </row>
    <row r="524" spans="1:13" ht="25.5">
      <c r="A524" s="84"/>
      <c r="B524" s="47" t="s">
        <v>26</v>
      </c>
      <c r="C524" s="95" t="s">
        <v>76</v>
      </c>
      <c r="D524" s="60">
        <v>3500000</v>
      </c>
      <c r="E524" s="125">
        <v>0</v>
      </c>
      <c r="F524" s="135">
        <v>0</v>
      </c>
      <c r="G524" s="197">
        <v>875000</v>
      </c>
      <c r="H524" s="312">
        <f>G524/D524*100</f>
        <v>25</v>
      </c>
      <c r="I524" s="197">
        <f>G524</f>
        <v>875000</v>
      </c>
      <c r="J524" s="314">
        <f t="shared" ref="J524:J525" si="150">I524/D524*100</f>
        <v>25</v>
      </c>
      <c r="K524" s="339">
        <v>0.33333333333333331</v>
      </c>
      <c r="L524" s="311">
        <f>J524</f>
        <v>25</v>
      </c>
      <c r="M524" s="132"/>
    </row>
    <row r="525" spans="1:13">
      <c r="A525" s="63"/>
      <c r="B525" s="83"/>
      <c r="C525" s="65" t="s">
        <v>45</v>
      </c>
      <c r="D525" s="66">
        <f>SUM(D524:D524)</f>
        <v>3500000</v>
      </c>
      <c r="E525" s="66">
        <f t="shared" ref="E525:F525" si="151">SUM(E522:E524)</f>
        <v>0</v>
      </c>
      <c r="F525" s="66">
        <f t="shared" si="151"/>
        <v>0</v>
      </c>
      <c r="G525" s="122">
        <f>SUM(G524)</f>
        <v>875000</v>
      </c>
      <c r="H525" s="312">
        <f>G525/D525*100</f>
        <v>25</v>
      </c>
      <c r="I525" s="122">
        <f>SUM(I524)</f>
        <v>875000</v>
      </c>
      <c r="J525" s="314">
        <f t="shared" si="150"/>
        <v>25</v>
      </c>
      <c r="K525" s="333">
        <f>SUM(K524)</f>
        <v>0.33333333333333331</v>
      </c>
      <c r="L525" s="302">
        <f>SUM(L524)</f>
        <v>25</v>
      </c>
      <c r="M525" s="66"/>
    </row>
    <row r="526" spans="1:13">
      <c r="A526" s="44">
        <v>17</v>
      </c>
      <c r="B526" s="822" t="s">
        <v>56</v>
      </c>
      <c r="C526" s="823"/>
      <c r="D526" s="57"/>
      <c r="E526" s="119"/>
      <c r="F526" s="131"/>
      <c r="G526" s="119"/>
      <c r="H526" s="152"/>
      <c r="I526" s="119"/>
      <c r="J526" s="152"/>
      <c r="K526" s="152"/>
      <c r="L526" s="152"/>
      <c r="M526" s="131"/>
    </row>
    <row r="527" spans="1:13">
      <c r="A527" s="44"/>
      <c r="B527" s="47">
        <v>19</v>
      </c>
      <c r="C527" s="824" t="s">
        <v>91</v>
      </c>
      <c r="E527" s="120"/>
      <c r="F527" s="132"/>
      <c r="G527" s="119"/>
      <c r="H527" s="59"/>
      <c r="I527" s="119"/>
      <c r="J527" s="59"/>
      <c r="K527" s="59"/>
      <c r="L527" s="59"/>
      <c r="M527" s="132"/>
    </row>
    <row r="528" spans="1:13">
      <c r="A528" s="44"/>
      <c r="B528" s="163"/>
      <c r="C528" s="825"/>
      <c r="D528" s="60">
        <v>25000000</v>
      </c>
      <c r="E528" s="164">
        <v>0</v>
      </c>
      <c r="F528" s="165">
        <v>0</v>
      </c>
      <c r="G528" s="330">
        <v>5980000</v>
      </c>
      <c r="H528" s="312">
        <f>G528/D528*100</f>
        <v>23.919999999999998</v>
      </c>
      <c r="I528" s="197">
        <f>G528</f>
        <v>5980000</v>
      </c>
      <c r="J528" s="314">
        <f t="shared" ref="J528" si="152">I528/D528*100</f>
        <v>23.919999999999998</v>
      </c>
      <c r="K528" s="339">
        <v>0.33333333333333331</v>
      </c>
      <c r="L528" s="314">
        <f>J528</f>
        <v>23.919999999999998</v>
      </c>
      <c r="M528" s="165"/>
    </row>
    <row r="529" spans="1:13">
      <c r="A529" s="63"/>
      <c r="B529" s="96"/>
      <c r="C529" s="65" t="s">
        <v>45</v>
      </c>
      <c r="D529" s="66">
        <f>SUM(D528:D528)</f>
        <v>25000000</v>
      </c>
      <c r="E529" s="122">
        <f>SUM(E527:E527)</f>
        <v>0</v>
      </c>
      <c r="F529" s="137">
        <f>SUM(F527:F527)</f>
        <v>0</v>
      </c>
      <c r="G529" s="122">
        <f>SUM(G528)</f>
        <v>5980000</v>
      </c>
      <c r="H529" s="302">
        <f>SUM(H528)</f>
        <v>23.919999999999998</v>
      </c>
      <c r="I529" s="122">
        <f>SUM(I528)</f>
        <v>5980000</v>
      </c>
      <c r="J529" s="324">
        <f>SUM(J528)</f>
        <v>23.919999999999998</v>
      </c>
      <c r="K529" s="333">
        <f>SUM(K528)</f>
        <v>0.33333333333333331</v>
      </c>
      <c r="L529" s="340">
        <f>J529</f>
        <v>23.919999999999998</v>
      </c>
      <c r="M529" s="137"/>
    </row>
    <row r="530" spans="1:13">
      <c r="A530" s="44">
        <v>19</v>
      </c>
      <c r="B530" s="826" t="s">
        <v>57</v>
      </c>
      <c r="C530" s="827"/>
      <c r="D530" s="57"/>
      <c r="E530" s="119"/>
      <c r="F530" s="131"/>
      <c r="G530" s="119"/>
      <c r="H530" s="152"/>
      <c r="I530" s="119"/>
      <c r="J530" s="152"/>
      <c r="K530" s="152"/>
      <c r="L530" s="152"/>
      <c r="M530" s="131"/>
    </row>
    <row r="531" spans="1:13">
      <c r="A531" s="44"/>
      <c r="B531" s="47" t="s">
        <v>26</v>
      </c>
      <c r="C531" s="48" t="s">
        <v>58</v>
      </c>
      <c r="D531" s="60">
        <v>15000000</v>
      </c>
      <c r="E531" s="120">
        <v>0</v>
      </c>
      <c r="F531" s="132">
        <v>0</v>
      </c>
      <c r="G531" s="197">
        <v>15000000</v>
      </c>
      <c r="H531" s="59">
        <f>G531/D531*100</f>
        <v>100</v>
      </c>
      <c r="I531" s="197">
        <v>15000000</v>
      </c>
      <c r="J531" s="301">
        <f>I531/D531*100</f>
        <v>100</v>
      </c>
      <c r="K531" s="339">
        <v>0.33333333333333331</v>
      </c>
      <c r="L531" s="311">
        <f>J531</f>
        <v>100</v>
      </c>
      <c r="M531" s="132"/>
    </row>
    <row r="532" spans="1:13">
      <c r="A532" s="183"/>
      <c r="B532" s="64"/>
      <c r="C532" s="65" t="s">
        <v>45</v>
      </c>
      <c r="D532" s="66">
        <f>SUM(D531)</f>
        <v>15000000</v>
      </c>
      <c r="E532" s="122">
        <f>SUM(E529:E529)</f>
        <v>0</v>
      </c>
      <c r="F532" s="66">
        <f>SUM(F529:F529)</f>
        <v>0</v>
      </c>
      <c r="G532" s="122">
        <f>G531</f>
        <v>15000000</v>
      </c>
      <c r="H532" s="66">
        <f>G532/D532*100</f>
        <v>100</v>
      </c>
      <c r="I532" s="122">
        <f>I531</f>
        <v>15000000</v>
      </c>
      <c r="J532" s="324">
        <f>I532/D532*100</f>
        <v>100</v>
      </c>
      <c r="K532" s="333">
        <f>SUM(K531)</f>
        <v>0.33333333333333331</v>
      </c>
      <c r="L532" s="302">
        <f>SUM(L531)</f>
        <v>100</v>
      </c>
      <c r="M532" s="66"/>
    </row>
    <row r="533" spans="1:13">
      <c r="A533" s="44">
        <v>32</v>
      </c>
      <c r="B533" s="97" t="s">
        <v>59</v>
      </c>
      <c r="C533" s="98"/>
      <c r="D533" s="57"/>
      <c r="E533" s="119"/>
      <c r="F533" s="131"/>
      <c r="G533" s="119"/>
      <c r="H533" s="152"/>
      <c r="I533" s="119"/>
      <c r="J533" s="152"/>
      <c r="K533" s="152"/>
      <c r="L533" s="152"/>
      <c r="M533" s="131"/>
    </row>
    <row r="534" spans="1:13">
      <c r="A534" s="44"/>
      <c r="B534" s="47" t="s">
        <v>26</v>
      </c>
      <c r="C534" s="58" t="s">
        <v>60</v>
      </c>
      <c r="D534" s="60">
        <v>15000000</v>
      </c>
      <c r="E534" s="120">
        <v>0</v>
      </c>
      <c r="F534" s="132">
        <v>0</v>
      </c>
      <c r="G534" s="197">
        <f>750000+225000</f>
        <v>975000</v>
      </c>
      <c r="H534" s="301">
        <f>G534/D534*100</f>
        <v>6.5</v>
      </c>
      <c r="I534" s="192">
        <f>G534</f>
        <v>975000</v>
      </c>
      <c r="J534" s="301">
        <f t="shared" ref="J534" si="153">I534/D534*100</f>
        <v>6.5</v>
      </c>
      <c r="K534" s="339">
        <v>0.33333333333333331</v>
      </c>
      <c r="L534" s="311">
        <f>J534</f>
        <v>6.5</v>
      </c>
      <c r="M534" s="132"/>
    </row>
    <row r="535" spans="1:13">
      <c r="A535" s="63"/>
      <c r="B535" s="64"/>
      <c r="C535" s="65" t="s">
        <v>45</v>
      </c>
      <c r="D535" s="66">
        <f>SUM(D534)</f>
        <v>15000000</v>
      </c>
      <c r="E535" s="122">
        <f>SUM(E534:E534)</f>
        <v>0</v>
      </c>
      <c r="F535" s="66">
        <f>SUM(F534:F534)</f>
        <v>0</v>
      </c>
      <c r="G535" s="122">
        <f>G534</f>
        <v>975000</v>
      </c>
      <c r="H535" s="302">
        <f>G535/D535*100</f>
        <v>6.5</v>
      </c>
      <c r="I535" s="122">
        <f>I534</f>
        <v>975000</v>
      </c>
      <c r="J535" s="302">
        <f>I535/D535*100</f>
        <v>6.5</v>
      </c>
      <c r="K535" s="333">
        <f>SUM(K534:K534)</f>
        <v>0.33333333333333331</v>
      </c>
      <c r="L535" s="302">
        <f>SUM(L534:L534)</f>
        <v>6.5</v>
      </c>
      <c r="M535" s="66"/>
    </row>
    <row r="536" spans="1:13">
      <c r="A536" s="99">
        <v>15</v>
      </c>
      <c r="B536" s="100" t="s">
        <v>77</v>
      </c>
      <c r="C536" s="540"/>
      <c r="D536" s="70"/>
      <c r="E536" s="123"/>
      <c r="F536" s="134"/>
      <c r="G536" s="123"/>
      <c r="H536" s="156"/>
      <c r="I536" s="123"/>
      <c r="J536" s="144"/>
      <c r="K536" s="156"/>
      <c r="L536" s="156"/>
      <c r="M536" s="134"/>
    </row>
    <row r="537" spans="1:13">
      <c r="A537" s="84"/>
      <c r="B537" s="101" t="s">
        <v>78</v>
      </c>
      <c r="C537" s="48"/>
      <c r="D537" s="102"/>
      <c r="E537" s="119"/>
      <c r="F537" s="131"/>
      <c r="G537" s="119"/>
      <c r="H537" s="152"/>
      <c r="I537" s="119"/>
      <c r="J537" s="59"/>
      <c r="K537" s="152"/>
      <c r="L537" s="152"/>
      <c r="M537" s="131"/>
    </row>
    <row r="538" spans="1:13">
      <c r="A538" s="44"/>
      <c r="B538" s="47" t="s">
        <v>26</v>
      </c>
      <c r="C538" s="48" t="s">
        <v>79</v>
      </c>
      <c r="D538" s="60">
        <v>5000000</v>
      </c>
      <c r="E538" s="120">
        <v>0</v>
      </c>
      <c r="F538" s="132">
        <v>0</v>
      </c>
      <c r="G538" s="199" t="s">
        <v>132</v>
      </c>
      <c r="H538" s="59" t="s">
        <v>132</v>
      </c>
      <c r="I538" s="199" t="s">
        <v>132</v>
      </c>
      <c r="J538" s="59" t="s">
        <v>132</v>
      </c>
      <c r="K538" s="339">
        <f t="shared" ref="K538" si="154">4/12</f>
        <v>0.33333333333333331</v>
      </c>
      <c r="L538" s="59">
        <v>0</v>
      </c>
      <c r="M538" s="132"/>
    </row>
    <row r="539" spans="1:13">
      <c r="A539" s="89"/>
      <c r="B539" s="61" t="s">
        <v>80</v>
      </c>
      <c r="C539" s="103" t="s">
        <v>104</v>
      </c>
      <c r="D539" s="91">
        <v>15000000</v>
      </c>
      <c r="E539" s="127">
        <v>0</v>
      </c>
      <c r="F539" s="138">
        <v>0</v>
      </c>
      <c r="G539" s="197" t="s">
        <v>132</v>
      </c>
      <c r="H539" s="157" t="s">
        <v>132</v>
      </c>
      <c r="I539" s="197" t="s">
        <v>132</v>
      </c>
      <c r="J539" s="157" t="s">
        <v>132</v>
      </c>
      <c r="K539" s="355">
        <f>4/12</f>
        <v>0.33333333333333331</v>
      </c>
      <c r="L539" s="157">
        <v>0</v>
      </c>
      <c r="M539" s="136"/>
    </row>
    <row r="540" spans="1:13">
      <c r="A540" s="93"/>
      <c r="B540" s="83"/>
      <c r="C540" s="65" t="s">
        <v>45</v>
      </c>
      <c r="D540" s="66">
        <f>SUM(D538:D539)</f>
        <v>20000000</v>
      </c>
      <c r="E540" s="66">
        <f>SUM(E538:E539)</f>
        <v>0</v>
      </c>
      <c r="F540" s="66">
        <f t="shared" ref="F540" si="155">SUM(F538:F539)</f>
        <v>0</v>
      </c>
      <c r="G540" s="122" t="s">
        <v>132</v>
      </c>
      <c r="H540" s="66" t="s">
        <v>132</v>
      </c>
      <c r="I540" s="122" t="s">
        <v>132</v>
      </c>
      <c r="J540" s="66" t="s">
        <v>132</v>
      </c>
      <c r="K540" s="350">
        <f>4/12</f>
        <v>0.33333333333333331</v>
      </c>
      <c r="L540" s="66">
        <f t="shared" ref="L540" si="156">SUM(L538:L539)</f>
        <v>0</v>
      </c>
      <c r="M540" s="66"/>
    </row>
    <row r="541" spans="1:13">
      <c r="A541" s="84">
        <v>18</v>
      </c>
      <c r="B541" s="75" t="s">
        <v>82</v>
      </c>
      <c r="C541" s="76"/>
      <c r="D541" s="57"/>
      <c r="E541" s="119"/>
      <c r="F541" s="131"/>
      <c r="G541" s="119"/>
      <c r="H541" s="152"/>
      <c r="I541" s="119"/>
      <c r="J541" s="152"/>
      <c r="K541" s="152"/>
      <c r="L541" s="152"/>
      <c r="M541" s="131"/>
    </row>
    <row r="542" spans="1:13" ht="26.25">
      <c r="A542" s="84"/>
      <c r="B542" s="94" t="s">
        <v>29</v>
      </c>
      <c r="C542" s="48" t="s">
        <v>92</v>
      </c>
      <c r="D542" s="60">
        <v>7500000</v>
      </c>
      <c r="E542" s="120">
        <v>0</v>
      </c>
      <c r="F542" s="132">
        <v>0</v>
      </c>
      <c r="G542" s="199">
        <v>7500000</v>
      </c>
      <c r="H542" s="301">
        <f>G542/D542*100</f>
        <v>100</v>
      </c>
      <c r="I542" s="192">
        <f>G542</f>
        <v>7500000</v>
      </c>
      <c r="J542" s="301">
        <f t="shared" ref="J542" si="157">I542/D542*100</f>
        <v>100</v>
      </c>
      <c r="K542" s="339">
        <v>0.33333333333333331</v>
      </c>
      <c r="L542" s="311">
        <f>J542</f>
        <v>100</v>
      </c>
      <c r="M542" s="131"/>
    </row>
    <row r="543" spans="1:13" ht="26.25">
      <c r="A543" s="84"/>
      <c r="B543" s="94" t="s">
        <v>83</v>
      </c>
      <c r="C543" s="48" t="s">
        <v>93</v>
      </c>
      <c r="D543" s="62">
        <v>10000000</v>
      </c>
      <c r="E543" s="121">
        <v>0</v>
      </c>
      <c r="F543" s="133">
        <v>0</v>
      </c>
      <c r="G543" s="200">
        <v>10000000</v>
      </c>
      <c r="H543" s="301">
        <f>G543/D543*100</f>
        <v>100</v>
      </c>
      <c r="I543" s="200">
        <f>G543</f>
        <v>10000000</v>
      </c>
      <c r="J543" s="301">
        <f>I543/D543*100</f>
        <v>100</v>
      </c>
      <c r="K543" s="339">
        <v>0.33333333333333331</v>
      </c>
      <c r="L543" s="311">
        <f>J543</f>
        <v>100</v>
      </c>
      <c r="M543" s="131"/>
    </row>
    <row r="544" spans="1:13">
      <c r="A544" s="93"/>
      <c r="B544" s="64"/>
      <c r="C544" s="65" t="s">
        <v>45</v>
      </c>
      <c r="D544" s="66">
        <f>SUM(D542:D543)</f>
        <v>17500000</v>
      </c>
      <c r="E544" s="66">
        <f t="shared" ref="E544:F544" si="158">SUM(E542:E543)</f>
        <v>0</v>
      </c>
      <c r="F544" s="66">
        <f t="shared" si="158"/>
        <v>0</v>
      </c>
      <c r="G544" s="122">
        <f>SUM(G542:G543)</f>
        <v>17500000</v>
      </c>
      <c r="H544" s="302">
        <f>G544/D544*100</f>
        <v>100</v>
      </c>
      <c r="I544" s="122">
        <f t="shared" ref="I544" si="159">SUM(I542:I543)</f>
        <v>17500000</v>
      </c>
      <c r="J544" s="302">
        <f>I544/D544*100</f>
        <v>100</v>
      </c>
      <c r="K544" s="333">
        <f>4/12</f>
        <v>0.33333333333333331</v>
      </c>
      <c r="L544" s="302">
        <f>SUM(L543:L543)</f>
        <v>100</v>
      </c>
      <c r="M544" s="66"/>
    </row>
    <row r="545" spans="1:13">
      <c r="A545" s="99">
        <v>26</v>
      </c>
      <c r="B545" s="104" t="s">
        <v>105</v>
      </c>
      <c r="C545" s="105"/>
      <c r="D545" s="57"/>
      <c r="E545" s="119"/>
      <c r="F545" s="131"/>
      <c r="G545" s="119"/>
      <c r="H545" s="152"/>
      <c r="I545" s="119"/>
      <c r="J545" s="152"/>
      <c r="K545" s="152"/>
      <c r="L545" s="152"/>
      <c r="M545" s="131"/>
    </row>
    <row r="546" spans="1:13">
      <c r="A546" s="44"/>
      <c r="B546" s="47" t="s">
        <v>84</v>
      </c>
      <c r="C546" s="48" t="s">
        <v>106</v>
      </c>
      <c r="D546" s="60">
        <v>5000000</v>
      </c>
      <c r="E546" s="120" t="s">
        <v>132</v>
      </c>
      <c r="F546" s="132">
        <v>0</v>
      </c>
      <c r="G546" s="120" t="s">
        <v>132</v>
      </c>
      <c r="H546" s="59" t="s">
        <v>132</v>
      </c>
      <c r="I546" s="120">
        <v>0</v>
      </c>
      <c r="J546" s="59" t="s">
        <v>132</v>
      </c>
      <c r="K546" s="157">
        <v>0</v>
      </c>
      <c r="L546" s="59">
        <v>0</v>
      </c>
      <c r="M546" s="132"/>
    </row>
    <row r="547" spans="1:13">
      <c r="A547" s="63"/>
      <c r="B547" s="64"/>
      <c r="C547" s="65" t="s">
        <v>45</v>
      </c>
      <c r="D547" s="66">
        <f>SUM(D546)</f>
        <v>5000000</v>
      </c>
      <c r="E547" s="66">
        <v>0</v>
      </c>
      <c r="F547" s="66">
        <f t="shared" ref="F547" si="160">SUM(F544:F546)</f>
        <v>0</v>
      </c>
      <c r="G547" s="122" t="s">
        <v>132</v>
      </c>
      <c r="H547" s="66" t="s">
        <v>132</v>
      </c>
      <c r="I547" s="122" t="s">
        <v>132</v>
      </c>
      <c r="J547" s="66" t="s">
        <v>132</v>
      </c>
      <c r="K547" s="66">
        <f>SUM(K546)</f>
        <v>0</v>
      </c>
      <c r="L547" s="66">
        <v>0</v>
      </c>
      <c r="M547" s="66"/>
    </row>
    <row r="548" spans="1:13">
      <c r="A548" s="99">
        <v>16</v>
      </c>
      <c r="B548" s="104" t="s">
        <v>123</v>
      </c>
      <c r="C548" s="105"/>
      <c r="D548" s="57"/>
      <c r="E548" s="119"/>
      <c r="F548" s="131"/>
      <c r="G548" s="119"/>
      <c r="H548" s="152"/>
      <c r="I548" s="119"/>
      <c r="J548" s="152"/>
      <c r="K548" s="152"/>
      <c r="L548" s="152"/>
      <c r="M548" s="131"/>
    </row>
    <row r="549" spans="1:13">
      <c r="A549" s="84"/>
      <c r="B549" s="185" t="s">
        <v>124</v>
      </c>
      <c r="C549" s="186"/>
      <c r="D549" s="182"/>
      <c r="E549" s="124"/>
      <c r="F549" s="131"/>
      <c r="G549" s="131"/>
      <c r="H549" s="152"/>
      <c r="I549" s="131"/>
      <c r="J549" s="152"/>
      <c r="K549" s="152"/>
      <c r="L549" s="152"/>
      <c r="M549" s="152"/>
    </row>
    <row r="550" spans="1:13" ht="26.25">
      <c r="A550" s="44"/>
      <c r="B550" s="282" t="s">
        <v>46</v>
      </c>
      <c r="C550" s="50" t="s">
        <v>217</v>
      </c>
      <c r="D550" s="60">
        <v>27000000</v>
      </c>
      <c r="E550" s="125">
        <v>0</v>
      </c>
      <c r="F550" s="135">
        <v>0</v>
      </c>
      <c r="G550" s="124">
        <v>0</v>
      </c>
      <c r="H550" s="59" t="s">
        <v>132</v>
      </c>
      <c r="I550" s="124">
        <v>0</v>
      </c>
      <c r="J550" s="59" t="s">
        <v>132</v>
      </c>
      <c r="K550" s="59">
        <v>0</v>
      </c>
      <c r="L550" s="59">
        <v>0</v>
      </c>
      <c r="M550" s="59"/>
    </row>
    <row r="551" spans="1:13">
      <c r="A551" s="44"/>
      <c r="B551" s="163" t="s">
        <v>111</v>
      </c>
      <c r="C551" s="204" t="s">
        <v>81</v>
      </c>
      <c r="D551" s="205">
        <v>3000000</v>
      </c>
      <c r="E551" s="125">
        <v>0</v>
      </c>
      <c r="F551" s="135">
        <v>0</v>
      </c>
      <c r="G551" s="201" t="s">
        <v>132</v>
      </c>
      <c r="H551" s="187" t="s">
        <v>132</v>
      </c>
      <c r="I551" s="201" t="s">
        <v>132</v>
      </c>
      <c r="J551" s="187" t="s">
        <v>132</v>
      </c>
      <c r="K551" s="212">
        <v>0</v>
      </c>
      <c r="L551" s="187"/>
      <c r="M551" s="188"/>
    </row>
    <row r="552" spans="1:13">
      <c r="A552" s="63"/>
      <c r="B552" s="64"/>
      <c r="C552" s="65" t="s">
        <v>45</v>
      </c>
      <c r="D552" s="66">
        <f>SUM(D550:D551)</f>
        <v>30000000</v>
      </c>
      <c r="E552" s="66">
        <f>SUM(E550:E551)</f>
        <v>0</v>
      </c>
      <c r="F552" s="66">
        <f>SUM(F550:F551)</f>
        <v>0</v>
      </c>
      <c r="G552" s="122" t="s">
        <v>132</v>
      </c>
      <c r="H552" s="66" t="s">
        <v>132</v>
      </c>
      <c r="I552" s="122">
        <f>SUM(I550:I551)</f>
        <v>0</v>
      </c>
      <c r="J552" s="66" t="s">
        <v>132</v>
      </c>
      <c r="K552" s="66">
        <f>SUM(K550:K551)</f>
        <v>0</v>
      </c>
      <c r="L552" s="66">
        <f>SUM(L550:L551)</f>
        <v>0</v>
      </c>
      <c r="M552" s="66"/>
    </row>
    <row r="553" spans="1:13">
      <c r="A553" s="99">
        <v>17</v>
      </c>
      <c r="B553" s="104" t="s">
        <v>127</v>
      </c>
      <c r="C553" s="105"/>
      <c r="D553" s="57"/>
      <c r="E553" s="119"/>
      <c r="F553" s="131"/>
      <c r="G553" s="119"/>
      <c r="H553" s="152"/>
      <c r="I553" s="119"/>
      <c r="J553" s="152"/>
      <c r="K553" s="152"/>
      <c r="L553" s="152"/>
      <c r="M553" s="131"/>
    </row>
    <row r="554" spans="1:13" ht="26.25">
      <c r="A554" s="44"/>
      <c r="B554" s="47" t="s">
        <v>84</v>
      </c>
      <c r="C554" s="48" t="s">
        <v>128</v>
      </c>
      <c r="D554" s="60">
        <v>10000000</v>
      </c>
      <c r="E554" s="120">
        <v>0</v>
      </c>
      <c r="F554" s="132">
        <v>0</v>
      </c>
      <c r="G554" s="120" t="s">
        <v>132</v>
      </c>
      <c r="H554" s="59" t="s">
        <v>132</v>
      </c>
      <c r="I554" s="120">
        <v>0</v>
      </c>
      <c r="J554" s="59" t="s">
        <v>132</v>
      </c>
      <c r="K554" s="157">
        <v>0</v>
      </c>
      <c r="L554" s="59">
        <v>0</v>
      </c>
      <c r="M554" s="132"/>
    </row>
    <row r="555" spans="1:13">
      <c r="A555" s="63"/>
      <c r="B555" s="64"/>
      <c r="C555" s="65" t="s">
        <v>45</v>
      </c>
      <c r="D555" s="66">
        <f>SUM(D554)</f>
        <v>10000000</v>
      </c>
      <c r="E555" s="66">
        <f t="shared" ref="E555:F555" si="161">SUM(E552:E554)</f>
        <v>0</v>
      </c>
      <c r="F555" s="66">
        <f t="shared" si="161"/>
        <v>0</v>
      </c>
      <c r="G555" s="122" t="s">
        <v>132</v>
      </c>
      <c r="H555" s="66" t="s">
        <v>132</v>
      </c>
      <c r="I555" s="122" t="s">
        <v>132</v>
      </c>
      <c r="J555" s="66" t="s">
        <v>132</v>
      </c>
      <c r="K555" s="66">
        <f>SUM(K554)</f>
        <v>0</v>
      </c>
      <c r="L555" s="66">
        <v>0</v>
      </c>
      <c r="M555" s="66"/>
    </row>
    <row r="556" spans="1:13">
      <c r="A556" s="44">
        <v>18</v>
      </c>
      <c r="B556" s="104" t="s">
        <v>218</v>
      </c>
      <c r="C556" s="105"/>
      <c r="D556" s="70"/>
      <c r="E556" s="70"/>
      <c r="F556" s="70"/>
      <c r="G556" s="287"/>
      <c r="H556" s="70"/>
      <c r="I556" s="287"/>
      <c r="J556" s="70"/>
      <c r="K556" s="70"/>
      <c r="L556" s="70"/>
      <c r="M556" s="70"/>
    </row>
    <row r="557" spans="1:13" ht="25.5">
      <c r="A557" s="44"/>
      <c r="B557" s="283" t="s">
        <v>83</v>
      </c>
      <c r="C557" s="284" t="s">
        <v>219</v>
      </c>
      <c r="D557" s="288">
        <v>50000000</v>
      </c>
      <c r="E557" s="285">
        <v>0</v>
      </c>
      <c r="F557" s="285">
        <v>0</v>
      </c>
      <c r="G557" s="286">
        <v>0</v>
      </c>
      <c r="H557" s="285">
        <v>0</v>
      </c>
      <c r="I557" s="286">
        <v>0</v>
      </c>
      <c r="J557" s="285">
        <v>0</v>
      </c>
      <c r="K557" s="157">
        <v>0</v>
      </c>
      <c r="L557" s="285">
        <v>0</v>
      </c>
      <c r="M557" s="285"/>
    </row>
    <row r="558" spans="1:13">
      <c r="A558" s="63"/>
      <c r="B558" s="64"/>
      <c r="C558" s="65" t="s">
        <v>45</v>
      </c>
      <c r="D558" s="66">
        <f>SUM(D557)</f>
        <v>50000000</v>
      </c>
      <c r="E558" s="66">
        <v>0</v>
      </c>
      <c r="F558" s="66">
        <v>0</v>
      </c>
      <c r="G558" s="122">
        <v>0</v>
      </c>
      <c r="H558" s="66">
        <v>0</v>
      </c>
      <c r="I558" s="122">
        <v>0</v>
      </c>
      <c r="J558" s="66">
        <v>0</v>
      </c>
      <c r="K558" s="66">
        <f>SUM(K557)</f>
        <v>0</v>
      </c>
      <c r="L558" s="66">
        <v>0</v>
      </c>
      <c r="M558" s="66"/>
    </row>
    <row r="559" spans="1:13">
      <c r="A559" s="44">
        <v>24</v>
      </c>
      <c r="B559" s="104" t="s">
        <v>221</v>
      </c>
      <c r="C559" s="105"/>
      <c r="D559" s="70"/>
      <c r="E559" s="70"/>
      <c r="F559" s="70"/>
      <c r="G559" s="287"/>
      <c r="H559" s="70"/>
      <c r="I559" s="287"/>
      <c r="J559" s="70"/>
      <c r="K559" s="70"/>
      <c r="L559" s="70"/>
      <c r="M559" s="70"/>
    </row>
    <row r="560" spans="1:13">
      <c r="A560" s="44"/>
      <c r="B560" s="283" t="s">
        <v>83</v>
      </c>
      <c r="C560" s="284" t="s">
        <v>222</v>
      </c>
      <c r="D560" s="288">
        <v>50000000</v>
      </c>
      <c r="E560" s="285">
        <v>0</v>
      </c>
      <c r="F560" s="285">
        <v>0</v>
      </c>
      <c r="G560" s="286">
        <v>0</v>
      </c>
      <c r="H560" s="285">
        <v>0</v>
      </c>
      <c r="I560" s="286">
        <v>0</v>
      </c>
      <c r="J560" s="285">
        <v>0</v>
      </c>
      <c r="K560" s="157">
        <v>0</v>
      </c>
      <c r="L560" s="285">
        <v>0</v>
      </c>
      <c r="M560" s="285"/>
    </row>
    <row r="561" spans="1:13">
      <c r="A561" s="63"/>
      <c r="B561" s="64"/>
      <c r="C561" s="65" t="s">
        <v>45</v>
      </c>
      <c r="D561" s="66">
        <f>SUM(D560)</f>
        <v>50000000</v>
      </c>
      <c r="E561" s="66">
        <v>0</v>
      </c>
      <c r="F561" s="66">
        <v>0</v>
      </c>
      <c r="G561" s="122">
        <v>0</v>
      </c>
      <c r="H561" s="66">
        <v>0</v>
      </c>
      <c r="I561" s="122">
        <v>0</v>
      </c>
      <c r="J561" s="66">
        <v>0</v>
      </c>
      <c r="K561" s="66">
        <f>SUM(K560)</f>
        <v>0</v>
      </c>
      <c r="L561" s="66">
        <v>0</v>
      </c>
      <c r="M561" s="66"/>
    </row>
    <row r="562" spans="1:13" ht="15.75" thickBot="1">
      <c r="A562" s="166"/>
      <c r="B562" s="167" t="s">
        <v>85</v>
      </c>
      <c r="C562" s="106"/>
      <c r="D562" s="107">
        <f>D456+D453</f>
        <v>3251325000</v>
      </c>
      <c r="E562" s="107">
        <f>E456+E453</f>
        <v>0</v>
      </c>
      <c r="F562" s="107">
        <f>F456+F453</f>
        <v>0</v>
      </c>
      <c r="G562" s="107">
        <f>G453+G456</f>
        <v>771059157</v>
      </c>
      <c r="H562" s="213">
        <f>G562/D562*100</f>
        <v>23.715228622177111</v>
      </c>
      <c r="I562" s="107">
        <f>I456+I453</f>
        <v>771059157</v>
      </c>
      <c r="J562" s="213">
        <f>I562/D562*100</f>
        <v>23.715228622177111</v>
      </c>
      <c r="K562" s="337">
        <f>4/12</f>
        <v>0.33333333333333331</v>
      </c>
      <c r="L562" s="213">
        <f>J562</f>
        <v>23.715228622177111</v>
      </c>
      <c r="M562" s="158"/>
    </row>
    <row r="563" spans="1:13" ht="15.75" thickTop="1">
      <c r="A563" s="342"/>
      <c r="B563" s="343"/>
      <c r="C563" s="344"/>
      <c r="D563" s="345"/>
      <c r="E563" s="345"/>
      <c r="F563" s="345"/>
      <c r="G563" s="345"/>
      <c r="H563" s="346"/>
      <c r="I563" s="345"/>
      <c r="J563" s="346"/>
      <c r="K563" s="347"/>
      <c r="L563" s="346"/>
      <c r="M563" s="348"/>
    </row>
    <row r="564" spans="1:13">
      <c r="A564" s="168"/>
      <c r="B564" s="169"/>
      <c r="C564" s="170"/>
      <c r="D564" s="171"/>
      <c r="E564" s="108"/>
      <c r="H564" s="128"/>
      <c r="I564" s="159" t="s">
        <v>235</v>
      </c>
      <c r="J564" s="128"/>
      <c r="L564" s="128"/>
      <c r="M564" s="128"/>
    </row>
    <row r="565" spans="1:13">
      <c r="A565" s="172"/>
      <c r="B565" s="169"/>
      <c r="C565" s="173"/>
      <c r="D565" s="171"/>
      <c r="E565" s="174"/>
      <c r="H565" s="128"/>
      <c r="I565" s="159" t="s">
        <v>86</v>
      </c>
      <c r="J565" s="128"/>
      <c r="L565" s="128"/>
      <c r="M565" s="128"/>
    </row>
    <row r="566" spans="1:13">
      <c r="A566" s="172"/>
      <c r="B566" s="169"/>
      <c r="C566" s="173"/>
      <c r="D566" s="171"/>
      <c r="E566" s="174"/>
      <c r="H566" s="128"/>
      <c r="I566" s="159"/>
      <c r="J566" s="128"/>
      <c r="L566" s="128"/>
      <c r="M566" s="128"/>
    </row>
    <row r="567" spans="1:13">
      <c r="A567" s="172"/>
      <c r="B567" s="169"/>
      <c r="C567" s="173"/>
      <c r="D567" s="171"/>
      <c r="E567" s="108"/>
      <c r="H567" s="128"/>
      <c r="I567" s="159"/>
      <c r="J567" s="128"/>
      <c r="L567" s="128"/>
      <c r="M567" s="128"/>
    </row>
    <row r="568" spans="1:13">
      <c r="A568" s="175"/>
      <c r="B568" s="176"/>
      <c r="C568" s="177"/>
      <c r="D568" s="171"/>
      <c r="E568" s="108"/>
      <c r="G568" s="128" t="s">
        <v>227</v>
      </c>
      <c r="H568" s="128"/>
      <c r="I568" s="160" t="s">
        <v>120</v>
      </c>
      <c r="J568" s="128"/>
      <c r="L568" s="128"/>
      <c r="M568" s="128"/>
    </row>
    <row r="569" spans="1:13">
      <c r="A569" s="175"/>
      <c r="B569" s="176"/>
      <c r="C569" s="177"/>
      <c r="D569" s="175"/>
      <c r="E569" s="108"/>
      <c r="H569" s="128"/>
      <c r="I569" s="159" t="s">
        <v>108</v>
      </c>
      <c r="J569" s="128"/>
      <c r="L569" s="128"/>
      <c r="M569" s="128"/>
    </row>
    <row r="570" spans="1:13">
      <c r="A570" s="175"/>
      <c r="B570" s="176"/>
      <c r="C570" s="177"/>
      <c r="D570" s="175"/>
      <c r="E570" s="108"/>
      <c r="H570" s="128"/>
      <c r="I570" s="159" t="s">
        <v>121</v>
      </c>
      <c r="J570" s="128"/>
      <c r="L570" s="128"/>
      <c r="M570" s="128"/>
    </row>
    <row r="599" spans="1:13">
      <c r="L599" s="161"/>
    </row>
    <row r="602" spans="1:13" ht="15.75">
      <c r="A602" s="832" t="s">
        <v>223</v>
      </c>
      <c r="B602" s="832"/>
      <c r="C602" s="832"/>
      <c r="D602" s="832"/>
      <c r="E602" s="832"/>
      <c r="F602" s="832"/>
      <c r="G602" s="832"/>
      <c r="H602" s="832"/>
      <c r="I602" s="832"/>
      <c r="J602" s="832"/>
      <c r="K602" s="832"/>
      <c r="L602" s="832"/>
      <c r="M602" s="832"/>
    </row>
    <row r="603" spans="1:13" ht="15.75">
      <c r="A603" s="832" t="s">
        <v>224</v>
      </c>
      <c r="B603" s="832"/>
      <c r="C603" s="832"/>
      <c r="D603" s="832"/>
      <c r="E603" s="832"/>
      <c r="F603" s="832"/>
      <c r="G603" s="832"/>
      <c r="H603" s="832"/>
      <c r="I603" s="832"/>
      <c r="J603" s="832"/>
      <c r="K603" s="832"/>
      <c r="L603" s="832"/>
      <c r="M603" s="832"/>
    </row>
    <row r="604" spans="1:13" ht="15.75">
      <c r="A604" s="541"/>
      <c r="B604" s="541"/>
      <c r="C604" s="541"/>
      <c r="D604" s="541"/>
      <c r="E604" s="541"/>
      <c r="F604" s="541"/>
      <c r="G604" s="303"/>
      <c r="H604" s="541"/>
      <c r="I604" s="541"/>
      <c r="J604" s="541"/>
      <c r="K604" s="303"/>
      <c r="L604" s="541"/>
      <c r="M604" s="541"/>
    </row>
    <row r="605" spans="1:13" ht="16.5">
      <c r="A605" s="1" t="s">
        <v>213</v>
      </c>
      <c r="B605" s="2"/>
      <c r="C605" s="3" t="s">
        <v>2</v>
      </c>
      <c r="E605" s="108"/>
      <c r="G605" s="304"/>
      <c r="H605" s="4"/>
      <c r="I605" s="5"/>
      <c r="J605" s="4"/>
      <c r="M605" s="4"/>
    </row>
    <row r="606" spans="1:13" ht="17.25" thickBot="1">
      <c r="A606" s="14" t="s">
        <v>225</v>
      </c>
      <c r="B606" s="14"/>
      <c r="C606" s="292" t="s">
        <v>302</v>
      </c>
      <c r="D606" s="129"/>
      <c r="E606" s="109"/>
      <c r="F606" s="129"/>
      <c r="G606" s="305"/>
      <c r="H606" s="14"/>
      <c r="I606" s="16"/>
      <c r="J606" s="14"/>
      <c r="K606" s="129"/>
      <c r="L606" s="15"/>
      <c r="M606" s="14"/>
    </row>
    <row r="607" spans="1:13" ht="15.75" thickTop="1">
      <c r="A607" s="833" t="s">
        <v>3</v>
      </c>
      <c r="B607" s="836" t="s">
        <v>4</v>
      </c>
      <c r="C607" s="837"/>
      <c r="D607" s="289" t="s">
        <v>5</v>
      </c>
      <c r="E607" s="110" t="s">
        <v>6</v>
      </c>
      <c r="F607" s="130"/>
      <c r="G607" s="842" t="s">
        <v>7</v>
      </c>
      <c r="H607" s="843"/>
      <c r="I607" s="843"/>
      <c r="J607" s="843"/>
      <c r="K607" s="844" t="s">
        <v>8</v>
      </c>
      <c r="L607" s="844"/>
      <c r="M607" s="833" t="s">
        <v>9</v>
      </c>
    </row>
    <row r="608" spans="1:13">
      <c r="A608" s="834"/>
      <c r="B608" s="838"/>
      <c r="C608" s="839"/>
      <c r="D608" s="290" t="s">
        <v>10</v>
      </c>
      <c r="E608" s="111" t="s">
        <v>11</v>
      </c>
      <c r="F608" s="111" t="s">
        <v>12</v>
      </c>
      <c r="G608" s="111" t="s">
        <v>13</v>
      </c>
      <c r="H608" s="845" t="s">
        <v>14</v>
      </c>
      <c r="I608" s="6" t="s">
        <v>15</v>
      </c>
      <c r="J608" s="846" t="s">
        <v>14</v>
      </c>
      <c r="K608" s="321" t="s">
        <v>16</v>
      </c>
      <c r="L608" s="7" t="s">
        <v>17</v>
      </c>
      <c r="M608" s="834"/>
    </row>
    <row r="609" spans="1:13">
      <c r="A609" s="835"/>
      <c r="B609" s="840"/>
      <c r="C609" s="841"/>
      <c r="D609" s="291" t="s">
        <v>18</v>
      </c>
      <c r="E609" s="112" t="s">
        <v>18</v>
      </c>
      <c r="F609" s="112"/>
      <c r="G609" s="306" t="s">
        <v>19</v>
      </c>
      <c r="H609" s="835"/>
      <c r="I609" s="8" t="s">
        <v>19</v>
      </c>
      <c r="J609" s="847"/>
      <c r="K609" s="322" t="s">
        <v>233</v>
      </c>
      <c r="L609" s="9" t="s">
        <v>233</v>
      </c>
      <c r="M609" s="835"/>
    </row>
    <row r="610" spans="1:13" ht="15.75" thickBot="1">
      <c r="A610" s="17">
        <v>1</v>
      </c>
      <c r="B610" s="828">
        <v>2</v>
      </c>
      <c r="C610" s="829"/>
      <c r="D610" s="113">
        <v>3</v>
      </c>
      <c r="E610" s="113">
        <v>4</v>
      </c>
      <c r="F610" s="113">
        <v>5</v>
      </c>
      <c r="G610" s="113">
        <v>6</v>
      </c>
      <c r="H610" s="18">
        <v>7</v>
      </c>
      <c r="I610" s="18">
        <v>8</v>
      </c>
      <c r="J610" s="18">
        <v>9</v>
      </c>
      <c r="K610" s="113">
        <v>10</v>
      </c>
      <c r="L610" s="18">
        <v>11</v>
      </c>
      <c r="M610" s="18">
        <v>12</v>
      </c>
    </row>
    <row r="611" spans="1:13" ht="15.75" thickBot="1">
      <c r="A611" s="35" t="s">
        <v>20</v>
      </c>
      <c r="B611" s="36" t="s">
        <v>21</v>
      </c>
      <c r="C611" s="37"/>
      <c r="D611" s="30">
        <f>D612+D613</f>
        <v>2257113000</v>
      </c>
      <c r="E611" s="30">
        <f>E612</f>
        <v>0</v>
      </c>
      <c r="F611" s="30">
        <v>0</v>
      </c>
      <c r="G611" s="30">
        <f>G612+G613</f>
        <v>691984494</v>
      </c>
      <c r="H611" s="214">
        <f>G611/D611*100</f>
        <v>30.657946412075958</v>
      </c>
      <c r="I611" s="30">
        <f>G611</f>
        <v>691984494</v>
      </c>
      <c r="J611" s="217">
        <f>I611/D611*100</f>
        <v>30.657946412075958</v>
      </c>
      <c r="K611" s="332">
        <f>5/12</f>
        <v>0.41666666666666669</v>
      </c>
      <c r="L611" s="215">
        <f>J611</f>
        <v>30.657946412075958</v>
      </c>
      <c r="M611" s="53"/>
    </row>
    <row r="612" spans="1:13" ht="15.75" thickBot="1">
      <c r="A612" s="38" t="s">
        <v>22</v>
      </c>
      <c r="B612" s="39" t="s">
        <v>23</v>
      </c>
      <c r="C612" s="40"/>
      <c r="D612" s="31">
        <v>1872153000</v>
      </c>
      <c r="E612" s="114">
        <v>0</v>
      </c>
      <c r="F612" s="30">
        <v>0</v>
      </c>
      <c r="G612" s="30">
        <v>589234494</v>
      </c>
      <c r="H612" s="214">
        <f>G612/D612*100</f>
        <v>31.473629238635947</v>
      </c>
      <c r="I612" s="296">
        <f>G612</f>
        <v>589234494</v>
      </c>
      <c r="J612" s="217">
        <f>I612/D612*100</f>
        <v>31.473629238635947</v>
      </c>
      <c r="K612" s="332">
        <f t="shared" ref="K612:K614" si="162">5/12</f>
        <v>0.41666666666666669</v>
      </c>
      <c r="L612" s="215">
        <f>J612</f>
        <v>31.473629238635947</v>
      </c>
      <c r="M612" s="146"/>
    </row>
    <row r="613" spans="1:13" ht="15.75" thickBot="1">
      <c r="A613" s="139"/>
      <c r="B613" s="140" t="s">
        <v>107</v>
      </c>
      <c r="C613" s="141"/>
      <c r="D613" s="31">
        <v>384960000</v>
      </c>
      <c r="E613" s="114">
        <v>0</v>
      </c>
      <c r="F613" s="30">
        <v>0</v>
      </c>
      <c r="G613" s="351">
        <v>102750000</v>
      </c>
      <c r="H613" s="214">
        <f>G613/D613*100</f>
        <v>26.691084788029922</v>
      </c>
      <c r="I613" s="296">
        <f>G613</f>
        <v>102750000</v>
      </c>
      <c r="J613" s="217">
        <f>I613/D613*100</f>
        <v>26.691084788029922</v>
      </c>
      <c r="K613" s="332">
        <f t="shared" si="162"/>
        <v>0.41666666666666669</v>
      </c>
      <c r="L613" s="215">
        <f>J613</f>
        <v>26.691084788029922</v>
      </c>
      <c r="M613" s="149"/>
    </row>
    <row r="614" spans="1:13" ht="15.75" thickBot="1">
      <c r="A614" s="35" t="s">
        <v>24</v>
      </c>
      <c r="B614" s="36" t="s">
        <v>25</v>
      </c>
      <c r="C614" s="37"/>
      <c r="D614" s="30">
        <f>D631+D641+D644+D648+D651+D654+D660+D663+D667+D670+D674+D677+D680+D683+D687+D690+D693+D698+D702+D705+D710+D713+D716+D719</f>
        <v>994212000</v>
      </c>
      <c r="E614" s="30">
        <v>0</v>
      </c>
      <c r="F614" s="30">
        <v>0</v>
      </c>
      <c r="G614" s="30">
        <f>G631+G641+G670+G674+G690+G693+G680+G683+G687+G702+G654+G667+G698+G651</f>
        <v>459983698</v>
      </c>
      <c r="H614" s="215">
        <f>G614/D614*100</f>
        <v>46.266158324381514</v>
      </c>
      <c r="I614" s="296">
        <f>G614</f>
        <v>459983698</v>
      </c>
      <c r="J614" s="217">
        <f>I614/D614*100</f>
        <v>46.266158324381514</v>
      </c>
      <c r="K614" s="332">
        <f t="shared" si="162"/>
        <v>0.41666666666666669</v>
      </c>
      <c r="L614" s="215">
        <f>J614</f>
        <v>46.266158324381514</v>
      </c>
      <c r="M614" s="30"/>
    </row>
    <row r="615" spans="1:13">
      <c r="A615" s="41" t="s">
        <v>26</v>
      </c>
      <c r="B615" s="42" t="s">
        <v>27</v>
      </c>
      <c r="C615" s="43"/>
      <c r="D615" s="32"/>
      <c r="E615" s="115"/>
      <c r="F615" s="32"/>
      <c r="G615" s="150"/>
      <c r="H615" s="151"/>
      <c r="I615" s="191"/>
      <c r="J615" s="150"/>
      <c r="K615" s="32"/>
      <c r="L615" s="32"/>
      <c r="M615" s="32"/>
    </row>
    <row r="616" spans="1:13">
      <c r="A616" s="44"/>
      <c r="B616" s="45" t="s">
        <v>26</v>
      </c>
      <c r="C616" s="46" t="s">
        <v>28</v>
      </c>
      <c r="D616" s="33">
        <v>6000000</v>
      </c>
      <c r="E616" s="116">
        <v>0</v>
      </c>
      <c r="F616" s="131">
        <v>0</v>
      </c>
      <c r="G616" s="192">
        <f>999000+501000+250000</f>
        <v>1750000</v>
      </c>
      <c r="H616" s="299">
        <f>G616/D616*100</f>
        <v>29.166666666666668</v>
      </c>
      <c r="I616" s="192">
        <f>G616</f>
        <v>1750000</v>
      </c>
      <c r="J616" s="301">
        <f>H616</f>
        <v>29.166666666666668</v>
      </c>
      <c r="K616" s="331">
        <f>5/12</f>
        <v>0.41666666666666669</v>
      </c>
      <c r="L616" s="311">
        <f>J616</f>
        <v>29.166666666666668</v>
      </c>
      <c r="M616" s="131"/>
    </row>
    <row r="617" spans="1:13">
      <c r="A617" s="44"/>
      <c r="B617" s="47" t="s">
        <v>29</v>
      </c>
      <c r="C617" s="48" t="s">
        <v>30</v>
      </c>
      <c r="D617" s="34">
        <v>8000000</v>
      </c>
      <c r="E617" s="297">
        <v>0</v>
      </c>
      <c r="F617" s="132">
        <v>0</v>
      </c>
      <c r="G617" s="192">
        <v>1310678</v>
      </c>
      <c r="H617" s="299">
        <f t="shared" ref="H617:H630" si="163">G617/D617*100</f>
        <v>16.383475000000001</v>
      </c>
      <c r="I617" s="192">
        <f>G617</f>
        <v>1310678</v>
      </c>
      <c r="J617" s="301">
        <f>I617/D617*100</f>
        <v>16.383475000000001</v>
      </c>
      <c r="K617" s="331">
        <f t="shared" ref="K617:K630" si="164">5/12</f>
        <v>0.41666666666666669</v>
      </c>
      <c r="L617" s="311">
        <f t="shared" ref="L617:L630" si="165">J617</f>
        <v>16.383475000000001</v>
      </c>
      <c r="M617" s="132"/>
    </row>
    <row r="618" spans="1:13">
      <c r="A618" s="44"/>
      <c r="B618" s="47" t="s">
        <v>29</v>
      </c>
      <c r="C618" s="48" t="s">
        <v>31</v>
      </c>
      <c r="D618" s="34">
        <v>5000000</v>
      </c>
      <c r="E618" s="297">
        <v>0</v>
      </c>
      <c r="F618" s="132">
        <v>0</v>
      </c>
      <c r="G618" s="192">
        <v>1618600</v>
      </c>
      <c r="H618" s="299">
        <f t="shared" si="163"/>
        <v>32.372</v>
      </c>
      <c r="I618" s="192">
        <f t="shared" ref="I618:I619" si="166">G618</f>
        <v>1618600</v>
      </c>
      <c r="J618" s="301">
        <f t="shared" ref="J618:J627" si="167">I618/D618*100</f>
        <v>32.372</v>
      </c>
      <c r="K618" s="331">
        <f t="shared" si="164"/>
        <v>0.41666666666666669</v>
      </c>
      <c r="L618" s="311">
        <f t="shared" si="165"/>
        <v>32.372</v>
      </c>
      <c r="M618" s="132"/>
    </row>
    <row r="619" spans="1:13">
      <c r="A619" s="44"/>
      <c r="B619" s="47" t="s">
        <v>29</v>
      </c>
      <c r="C619" s="48" t="s">
        <v>32</v>
      </c>
      <c r="D619" s="34">
        <v>12000000</v>
      </c>
      <c r="E619" s="297">
        <v>0</v>
      </c>
      <c r="F619" s="132">
        <v>0</v>
      </c>
      <c r="G619" s="192">
        <v>3204120</v>
      </c>
      <c r="H619" s="299">
        <f t="shared" si="163"/>
        <v>26.701000000000004</v>
      </c>
      <c r="I619" s="192">
        <f t="shared" si="166"/>
        <v>3204120</v>
      </c>
      <c r="J619" s="301">
        <f t="shared" si="167"/>
        <v>26.701000000000004</v>
      </c>
      <c r="K619" s="331">
        <f t="shared" si="164"/>
        <v>0.41666666666666669</v>
      </c>
      <c r="L619" s="311">
        <f t="shared" si="165"/>
        <v>26.701000000000004</v>
      </c>
      <c r="M619" s="132"/>
    </row>
    <row r="620" spans="1:13">
      <c r="A620" s="44"/>
      <c r="B620" s="47" t="s">
        <v>33</v>
      </c>
      <c r="C620" s="48" t="s">
        <v>34</v>
      </c>
      <c r="D620" s="34">
        <v>12105000</v>
      </c>
      <c r="E620" s="117">
        <v>0</v>
      </c>
      <c r="F620" s="132">
        <v>0</v>
      </c>
      <c r="G620" s="192">
        <v>4000000</v>
      </c>
      <c r="H620" s="299">
        <f t="shared" si="163"/>
        <v>33.044196612969841</v>
      </c>
      <c r="I620" s="192">
        <f>G620</f>
        <v>4000000</v>
      </c>
      <c r="J620" s="301">
        <f t="shared" si="167"/>
        <v>33.044196612969841</v>
      </c>
      <c r="K620" s="331">
        <f t="shared" si="164"/>
        <v>0.41666666666666669</v>
      </c>
      <c r="L620" s="311">
        <f t="shared" si="165"/>
        <v>33.044196612969841</v>
      </c>
      <c r="M620" s="132"/>
    </row>
    <row r="621" spans="1:13">
      <c r="A621" s="44"/>
      <c r="B621" s="47">
        <v>10</v>
      </c>
      <c r="C621" s="48" t="s">
        <v>35</v>
      </c>
      <c r="D621" s="34">
        <v>11895000</v>
      </c>
      <c r="E621" s="117">
        <v>0</v>
      </c>
      <c r="F621" s="132">
        <v>0</v>
      </c>
      <c r="G621" s="192">
        <f>1500000+1000000+1000000</f>
        <v>3500000</v>
      </c>
      <c r="H621" s="299">
        <f t="shared" si="163"/>
        <v>29.424127784783522</v>
      </c>
      <c r="I621" s="192">
        <f t="shared" ref="I621:I624" si="168">G621</f>
        <v>3500000</v>
      </c>
      <c r="J621" s="301">
        <f t="shared" si="167"/>
        <v>29.424127784783522</v>
      </c>
      <c r="K621" s="331">
        <f t="shared" si="164"/>
        <v>0.41666666666666669</v>
      </c>
      <c r="L621" s="311">
        <f t="shared" si="165"/>
        <v>29.424127784783522</v>
      </c>
      <c r="M621" s="132"/>
    </row>
    <row r="622" spans="1:13">
      <c r="A622" s="44"/>
      <c r="B622" s="47">
        <v>11</v>
      </c>
      <c r="C622" s="48" t="s">
        <v>36</v>
      </c>
      <c r="D622" s="34">
        <v>6000000</v>
      </c>
      <c r="E622" s="117">
        <v>0</v>
      </c>
      <c r="F622" s="132">
        <v>0</v>
      </c>
      <c r="G622" s="192">
        <f>1000000+500000+750000</f>
        <v>2250000</v>
      </c>
      <c r="H622" s="299">
        <f t="shared" si="163"/>
        <v>37.5</v>
      </c>
      <c r="I622" s="192">
        <f t="shared" si="168"/>
        <v>2250000</v>
      </c>
      <c r="J622" s="301">
        <f t="shared" si="167"/>
        <v>37.5</v>
      </c>
      <c r="K622" s="331">
        <f t="shared" si="164"/>
        <v>0.41666666666666669</v>
      </c>
      <c r="L622" s="311">
        <f t="shared" si="165"/>
        <v>37.5</v>
      </c>
      <c r="M622" s="132"/>
    </row>
    <row r="623" spans="1:13">
      <c r="A623" s="44"/>
      <c r="B623" s="47">
        <v>11</v>
      </c>
      <c r="C623" s="48" t="s">
        <v>37</v>
      </c>
      <c r="D623" s="34">
        <v>18000000</v>
      </c>
      <c r="E623" s="117">
        <v>0</v>
      </c>
      <c r="F623" s="132">
        <v>0</v>
      </c>
      <c r="G623" s="192">
        <f>2525600+17850+34600+34000</f>
        <v>2612050</v>
      </c>
      <c r="H623" s="299">
        <f t="shared" si="163"/>
        <v>14.511388888888888</v>
      </c>
      <c r="I623" s="192">
        <f t="shared" si="168"/>
        <v>2612050</v>
      </c>
      <c r="J623" s="301">
        <f t="shared" si="167"/>
        <v>14.511388888888888</v>
      </c>
      <c r="K623" s="331">
        <f t="shared" si="164"/>
        <v>0.41666666666666669</v>
      </c>
      <c r="L623" s="311">
        <f t="shared" si="165"/>
        <v>14.511388888888888</v>
      </c>
      <c r="M623" s="132"/>
    </row>
    <row r="624" spans="1:13">
      <c r="A624" s="44"/>
      <c r="B624" s="47">
        <v>12</v>
      </c>
      <c r="C624" s="48" t="s">
        <v>38</v>
      </c>
      <c r="D624" s="34">
        <v>5000000</v>
      </c>
      <c r="E624" s="117">
        <v>0</v>
      </c>
      <c r="F624" s="132">
        <v>0</v>
      </c>
      <c r="G624" s="192">
        <v>1750000</v>
      </c>
      <c r="H624" s="299">
        <f t="shared" si="163"/>
        <v>35</v>
      </c>
      <c r="I624" s="192">
        <f t="shared" si="168"/>
        <v>1750000</v>
      </c>
      <c r="J624" s="301">
        <f t="shared" si="167"/>
        <v>35</v>
      </c>
      <c r="K624" s="331">
        <f t="shared" si="164"/>
        <v>0.41666666666666669</v>
      </c>
      <c r="L624" s="311">
        <f t="shared" si="165"/>
        <v>35</v>
      </c>
      <c r="M624" s="132"/>
    </row>
    <row r="625" spans="1:13">
      <c r="A625" s="44"/>
      <c r="B625" s="47">
        <v>13</v>
      </c>
      <c r="C625" s="48" t="s">
        <v>39</v>
      </c>
      <c r="D625" s="34">
        <v>5000000</v>
      </c>
      <c r="E625" s="117">
        <v>0</v>
      </c>
      <c r="F625" s="132">
        <v>0</v>
      </c>
      <c r="G625" s="192">
        <f>1000000+250000+500000</f>
        <v>1750000</v>
      </c>
      <c r="H625" s="299">
        <f t="shared" si="163"/>
        <v>35</v>
      </c>
      <c r="I625" s="192">
        <f>G625</f>
        <v>1750000</v>
      </c>
      <c r="J625" s="301">
        <f t="shared" si="167"/>
        <v>35</v>
      </c>
      <c r="K625" s="331">
        <f t="shared" si="164"/>
        <v>0.41666666666666669</v>
      </c>
      <c r="L625" s="311">
        <f t="shared" si="165"/>
        <v>35</v>
      </c>
      <c r="M625" s="132"/>
    </row>
    <row r="626" spans="1:13">
      <c r="A626" s="44"/>
      <c r="B626" s="47">
        <v>15</v>
      </c>
      <c r="C626" s="48" t="s">
        <v>40</v>
      </c>
      <c r="D626" s="34">
        <v>3000000</v>
      </c>
      <c r="E626" s="117">
        <v>0</v>
      </c>
      <c r="F626" s="132">
        <v>0</v>
      </c>
      <c r="G626" s="192">
        <f>260000+140000+260000</f>
        <v>660000</v>
      </c>
      <c r="H626" s="299">
        <f t="shared" si="163"/>
        <v>22</v>
      </c>
      <c r="I626" s="192">
        <f t="shared" ref="I626:I627" si="169">G626</f>
        <v>660000</v>
      </c>
      <c r="J626" s="301">
        <f t="shared" si="167"/>
        <v>22</v>
      </c>
      <c r="K626" s="331">
        <f t="shared" si="164"/>
        <v>0.41666666666666669</v>
      </c>
      <c r="L626" s="311">
        <f t="shared" si="165"/>
        <v>22</v>
      </c>
      <c r="M626" s="132"/>
    </row>
    <row r="627" spans="1:13">
      <c r="A627" s="44"/>
      <c r="B627" s="47">
        <v>17</v>
      </c>
      <c r="C627" s="48" t="s">
        <v>41</v>
      </c>
      <c r="D627" s="34">
        <v>5000000</v>
      </c>
      <c r="E627" s="117">
        <v>0</v>
      </c>
      <c r="F627" s="132">
        <v>0</v>
      </c>
      <c r="G627" s="192">
        <f>1000000+250000+750000</f>
        <v>2000000</v>
      </c>
      <c r="H627" s="299">
        <f t="shared" si="163"/>
        <v>40</v>
      </c>
      <c r="I627" s="192">
        <f t="shared" si="169"/>
        <v>2000000</v>
      </c>
      <c r="J627" s="301">
        <f t="shared" si="167"/>
        <v>40</v>
      </c>
      <c r="K627" s="331">
        <f t="shared" si="164"/>
        <v>0.41666666666666669</v>
      </c>
      <c r="L627" s="311">
        <f t="shared" si="165"/>
        <v>40</v>
      </c>
      <c r="M627" s="132"/>
    </row>
    <row r="628" spans="1:13">
      <c r="A628" s="44"/>
      <c r="B628" s="47">
        <v>17</v>
      </c>
      <c r="C628" s="48" t="s">
        <v>42</v>
      </c>
      <c r="D628" s="34">
        <v>7000000</v>
      </c>
      <c r="E628" s="117">
        <v>0</v>
      </c>
      <c r="F628" s="132">
        <v>0</v>
      </c>
      <c r="G628" s="192">
        <f>1200000+400000+1800000</f>
        <v>3400000</v>
      </c>
      <c r="H628" s="299">
        <f t="shared" si="163"/>
        <v>48.571428571428569</v>
      </c>
      <c r="I628" s="192">
        <f>G628</f>
        <v>3400000</v>
      </c>
      <c r="J628" s="301">
        <f>I628/D628*100</f>
        <v>48.571428571428569</v>
      </c>
      <c r="K628" s="331">
        <f t="shared" si="164"/>
        <v>0.41666666666666669</v>
      </c>
      <c r="L628" s="311">
        <f t="shared" si="165"/>
        <v>48.571428571428569</v>
      </c>
      <c r="M628" s="132"/>
    </row>
    <row r="629" spans="1:13">
      <c r="A629" s="44"/>
      <c r="B629" s="47">
        <v>18</v>
      </c>
      <c r="C629" s="48" t="s">
        <v>43</v>
      </c>
      <c r="D629" s="34">
        <v>15000000</v>
      </c>
      <c r="E629" s="117">
        <v>0</v>
      </c>
      <c r="F629" s="132">
        <v>0</v>
      </c>
      <c r="G629" s="192">
        <f>1450000+375000+1525000+2900000</f>
        <v>6250000</v>
      </c>
      <c r="H629" s="299">
        <f t="shared" si="163"/>
        <v>41.666666666666671</v>
      </c>
      <c r="I629" s="192">
        <f>G629</f>
        <v>6250000</v>
      </c>
      <c r="J629" s="301">
        <f t="shared" ref="J629:J630" si="170">I629/D629*100</f>
        <v>41.666666666666671</v>
      </c>
      <c r="K629" s="331">
        <f t="shared" si="164"/>
        <v>0.41666666666666669</v>
      </c>
      <c r="L629" s="311">
        <f t="shared" si="165"/>
        <v>41.666666666666671</v>
      </c>
      <c r="M629" s="132"/>
    </row>
    <row r="630" spans="1:13" ht="15.75" thickBot="1">
      <c r="A630" s="44"/>
      <c r="B630" s="49">
        <v>19</v>
      </c>
      <c r="C630" s="50" t="s">
        <v>44</v>
      </c>
      <c r="D630" s="51">
        <v>51212000</v>
      </c>
      <c r="E630" s="298"/>
      <c r="F630" s="133">
        <v>0</v>
      </c>
      <c r="G630" s="192">
        <v>20121000</v>
      </c>
      <c r="H630" s="300">
        <f t="shared" si="163"/>
        <v>39.289619620401467</v>
      </c>
      <c r="I630" s="192">
        <f t="shared" ref="I630" si="171">G630</f>
        <v>20121000</v>
      </c>
      <c r="J630" s="301">
        <f t="shared" si="170"/>
        <v>39.289619620401467</v>
      </c>
      <c r="K630" s="331">
        <f t="shared" si="164"/>
        <v>0.41666666666666669</v>
      </c>
      <c r="L630" s="311">
        <f t="shared" si="165"/>
        <v>39.289619620401467</v>
      </c>
      <c r="M630" s="133"/>
    </row>
    <row r="631" spans="1:13" ht="15.75" thickBot="1">
      <c r="A631" s="35"/>
      <c r="B631" s="52"/>
      <c r="C631" s="37" t="s">
        <v>45</v>
      </c>
      <c r="D631" s="53">
        <f>SUM(D616:D630)</f>
        <v>170212000</v>
      </c>
      <c r="E631" s="53">
        <f>SUM(E616:E630)</f>
        <v>0</v>
      </c>
      <c r="F631" s="53">
        <f t="shared" ref="F631" si="172">SUM(F616:F630)</f>
        <v>0</v>
      </c>
      <c r="G631" s="53">
        <f>SUM(G616:G630)</f>
        <v>56176448</v>
      </c>
      <c r="H631" s="214">
        <f>G631/D631*100</f>
        <v>33.003811717152729</v>
      </c>
      <c r="I631" s="194">
        <f t="shared" ref="I631" si="173">SUM(I616:I630)</f>
        <v>56176448</v>
      </c>
      <c r="J631" s="214">
        <f>I631/D631*100</f>
        <v>33.003811717152729</v>
      </c>
      <c r="K631" s="332">
        <f>5/12</f>
        <v>0.41666666666666669</v>
      </c>
      <c r="L631" s="214">
        <f>J631</f>
        <v>33.003811717152729</v>
      </c>
      <c r="M631" s="53"/>
    </row>
    <row r="632" spans="1:13">
      <c r="A632" s="54" t="s">
        <v>29</v>
      </c>
      <c r="B632" s="55" t="s">
        <v>90</v>
      </c>
      <c r="C632" s="56"/>
      <c r="D632" s="57"/>
      <c r="E632" s="119"/>
      <c r="F632" s="131"/>
      <c r="G632" s="152"/>
      <c r="H632" s="152"/>
      <c r="I632" s="119"/>
      <c r="J632" s="152"/>
      <c r="K632" s="152"/>
      <c r="L632" s="152"/>
      <c r="M632" s="131"/>
    </row>
    <row r="633" spans="1:13">
      <c r="A633" s="279"/>
      <c r="B633" s="47" t="s">
        <v>53</v>
      </c>
      <c r="C633" s="46" t="s">
        <v>216</v>
      </c>
      <c r="D633" s="80">
        <v>40000000</v>
      </c>
      <c r="E633" s="119"/>
      <c r="F633" s="131"/>
      <c r="G633" s="152"/>
      <c r="H633" s="152"/>
      <c r="I633" s="119"/>
      <c r="J633" s="152"/>
      <c r="K633" s="331">
        <f>5/12</f>
        <v>0.41666666666666669</v>
      </c>
      <c r="L633" s="152">
        <v>0</v>
      </c>
      <c r="M633" s="131"/>
    </row>
    <row r="634" spans="1:13">
      <c r="A634" s="44"/>
      <c r="B634" s="47" t="s">
        <v>46</v>
      </c>
      <c r="C634" s="58" t="s">
        <v>110</v>
      </c>
      <c r="D634" s="59">
        <v>20000000</v>
      </c>
      <c r="E634" s="120">
        <v>0</v>
      </c>
      <c r="F634" s="132">
        <v>0</v>
      </c>
      <c r="G634" s="119">
        <v>0</v>
      </c>
      <c r="H634" s="59" t="s">
        <v>132</v>
      </c>
      <c r="I634" s="119">
        <f>G634</f>
        <v>0</v>
      </c>
      <c r="J634" s="59" t="s">
        <v>132</v>
      </c>
      <c r="K634" s="331">
        <f t="shared" ref="K634:K640" si="174">5/12</f>
        <v>0.41666666666666669</v>
      </c>
      <c r="L634" s="59">
        <v>0</v>
      </c>
      <c r="M634" s="132"/>
    </row>
    <row r="635" spans="1:13">
      <c r="A635" s="44"/>
      <c r="B635" s="47">
        <v>21</v>
      </c>
      <c r="C635" s="48" t="s">
        <v>47</v>
      </c>
      <c r="D635" s="59">
        <v>30000000</v>
      </c>
      <c r="E635" s="120">
        <v>0</v>
      </c>
      <c r="F635" s="132">
        <v>0</v>
      </c>
      <c r="G635" s="206">
        <v>30000000</v>
      </c>
      <c r="H635" s="299">
        <f t="shared" ref="H635:H639" si="175">G635/D635*100</f>
        <v>100</v>
      </c>
      <c r="I635" s="119">
        <f t="shared" ref="I635:I636" si="176">G635</f>
        <v>30000000</v>
      </c>
      <c r="J635" s="301">
        <f t="shared" ref="J635:J640" si="177">I635/D635*100</f>
        <v>100</v>
      </c>
      <c r="K635" s="331">
        <f t="shared" si="174"/>
        <v>0.41666666666666669</v>
      </c>
      <c r="L635" s="311">
        <f t="shared" ref="L635:L636" si="178">J635</f>
        <v>100</v>
      </c>
      <c r="M635" s="132"/>
    </row>
    <row r="636" spans="1:13">
      <c r="A636" s="44"/>
      <c r="B636" s="47">
        <v>22</v>
      </c>
      <c r="C636" s="48" t="s">
        <v>48</v>
      </c>
      <c r="D636" s="60">
        <v>30000000</v>
      </c>
      <c r="E636" s="120">
        <v>0</v>
      </c>
      <c r="F636" s="132">
        <v>0</v>
      </c>
      <c r="G636" s="206">
        <v>30000000</v>
      </c>
      <c r="H636" s="299">
        <f t="shared" si="175"/>
        <v>100</v>
      </c>
      <c r="I636" s="119">
        <f t="shared" si="176"/>
        <v>30000000</v>
      </c>
      <c r="J636" s="301">
        <f t="shared" si="177"/>
        <v>100</v>
      </c>
      <c r="K636" s="331">
        <f t="shared" si="174"/>
        <v>0.41666666666666669</v>
      </c>
      <c r="L636" s="311">
        <f t="shared" si="178"/>
        <v>100</v>
      </c>
      <c r="M636" s="154"/>
    </row>
    <row r="637" spans="1:13">
      <c r="A637" s="44"/>
      <c r="B637" s="47">
        <v>24</v>
      </c>
      <c r="C637" s="48" t="s">
        <v>49</v>
      </c>
      <c r="D637" s="60">
        <v>35000000</v>
      </c>
      <c r="E637" s="120">
        <v>0</v>
      </c>
      <c r="F637" s="132">
        <v>0</v>
      </c>
      <c r="G637" s="206">
        <f>6051250+1700000+2418000</f>
        <v>10169250</v>
      </c>
      <c r="H637" s="299">
        <f t="shared" si="175"/>
        <v>29.054999999999996</v>
      </c>
      <c r="I637" s="192">
        <f>G637</f>
        <v>10169250</v>
      </c>
      <c r="J637" s="301">
        <f t="shared" si="177"/>
        <v>29.054999999999996</v>
      </c>
      <c r="K637" s="331">
        <f t="shared" si="174"/>
        <v>0.41666666666666669</v>
      </c>
      <c r="L637" s="311">
        <f>J637</f>
        <v>29.054999999999996</v>
      </c>
      <c r="M637" s="132"/>
    </row>
    <row r="638" spans="1:13">
      <c r="A638" s="44"/>
      <c r="B638" s="47">
        <v>26</v>
      </c>
      <c r="C638" s="48" t="s">
        <v>50</v>
      </c>
      <c r="D638" s="60">
        <v>4000000</v>
      </c>
      <c r="E638" s="120">
        <v>0</v>
      </c>
      <c r="F638" s="132">
        <v>0</v>
      </c>
      <c r="G638" s="206">
        <v>1500000</v>
      </c>
      <c r="H638" s="299">
        <f t="shared" si="175"/>
        <v>37.5</v>
      </c>
      <c r="I638" s="192">
        <f>G638</f>
        <v>1500000</v>
      </c>
      <c r="J638" s="301">
        <f t="shared" si="177"/>
        <v>37.5</v>
      </c>
      <c r="K638" s="331">
        <f t="shared" si="174"/>
        <v>0.41666666666666669</v>
      </c>
      <c r="L638" s="311">
        <f t="shared" ref="L638:L640" si="179">J638</f>
        <v>37.5</v>
      </c>
      <c r="M638" s="132"/>
    </row>
    <row r="639" spans="1:13">
      <c r="A639" s="44"/>
      <c r="B639" s="47">
        <v>28</v>
      </c>
      <c r="C639" s="48" t="s">
        <v>51</v>
      </c>
      <c r="D639" s="60">
        <v>12000000</v>
      </c>
      <c r="E639" s="120">
        <v>0</v>
      </c>
      <c r="F639" s="132">
        <v>0</v>
      </c>
      <c r="G639" s="206">
        <f>300000+300000+2250000+1000000+400000</f>
        <v>4250000</v>
      </c>
      <c r="H639" s="299">
        <f t="shared" si="175"/>
        <v>35.416666666666671</v>
      </c>
      <c r="I639" s="192">
        <f>G639</f>
        <v>4250000</v>
      </c>
      <c r="J639" s="301">
        <f>I639/D639*100</f>
        <v>35.416666666666671</v>
      </c>
      <c r="K639" s="331">
        <f t="shared" si="174"/>
        <v>0.41666666666666669</v>
      </c>
      <c r="L639" s="311">
        <f t="shared" si="179"/>
        <v>35.416666666666671</v>
      </c>
      <c r="M639" s="132"/>
    </row>
    <row r="640" spans="1:13">
      <c r="A640" s="44"/>
      <c r="B640" s="61">
        <v>29</v>
      </c>
      <c r="C640" s="50" t="s">
        <v>52</v>
      </c>
      <c r="D640" s="62">
        <v>2000000</v>
      </c>
      <c r="E640" s="121">
        <v>0</v>
      </c>
      <c r="F640" s="133">
        <v>0</v>
      </c>
      <c r="G640" s="197">
        <f>200000+100000</f>
        <v>300000</v>
      </c>
      <c r="H640" s="312">
        <f>G640/D640*100</f>
        <v>15</v>
      </c>
      <c r="I640" s="313">
        <f t="shared" ref="I640" si="180">G640</f>
        <v>300000</v>
      </c>
      <c r="J640" s="314">
        <f t="shared" si="177"/>
        <v>15</v>
      </c>
      <c r="K640" s="331">
        <f t="shared" si="174"/>
        <v>0.41666666666666669</v>
      </c>
      <c r="L640" s="311">
        <f t="shared" si="179"/>
        <v>15</v>
      </c>
      <c r="M640" s="133"/>
    </row>
    <row r="641" spans="1:13">
      <c r="A641" s="63"/>
      <c r="B641" s="64"/>
      <c r="C641" s="65" t="s">
        <v>45</v>
      </c>
      <c r="D641" s="66">
        <f>SUM(D633:D640)</f>
        <v>173000000</v>
      </c>
      <c r="E641" s="122"/>
      <c r="F641" s="66"/>
      <c r="G641" s="285">
        <f>SUM(G633:G640)</f>
        <v>76219250</v>
      </c>
      <c r="H641" s="323">
        <f>G641/D641*100</f>
        <v>44.05736994219653</v>
      </c>
      <c r="I641" s="286">
        <f>SUM(I633:I640)</f>
        <v>76219250</v>
      </c>
      <c r="J641" s="323">
        <f>I641/D641*100</f>
        <v>44.05736994219653</v>
      </c>
      <c r="K641" s="333">
        <f>5/12</f>
        <v>0.41666666666666669</v>
      </c>
      <c r="L641" s="302">
        <f>J641</f>
        <v>44.05736994219653</v>
      </c>
      <c r="M641" s="66"/>
    </row>
    <row r="642" spans="1:13">
      <c r="A642" s="67" t="s">
        <v>53</v>
      </c>
      <c r="B642" s="68" t="s">
        <v>54</v>
      </c>
      <c r="C642" s="69"/>
      <c r="D642" s="70"/>
      <c r="E642" s="123"/>
      <c r="F642" s="134"/>
      <c r="G642" s="164"/>
      <c r="H642" s="148"/>
      <c r="I642" s="164"/>
      <c r="J642" s="152"/>
      <c r="K642" s="152"/>
      <c r="L642" s="156"/>
      <c r="M642" s="134"/>
    </row>
    <row r="643" spans="1:13">
      <c r="A643" s="44"/>
      <c r="B643" s="47" t="s">
        <v>26</v>
      </c>
      <c r="C643" s="48" t="s">
        <v>55</v>
      </c>
      <c r="D643" s="60">
        <v>25000000</v>
      </c>
      <c r="E643" s="120">
        <v>0</v>
      </c>
      <c r="F643" s="208">
        <v>0</v>
      </c>
      <c r="G643" s="197" t="s">
        <v>132</v>
      </c>
      <c r="H643" s="59" t="s">
        <v>132</v>
      </c>
      <c r="I643" s="197" t="s">
        <v>132</v>
      </c>
      <c r="J643" s="59" t="s">
        <v>132</v>
      </c>
      <c r="K643" s="59">
        <v>0</v>
      </c>
      <c r="L643" s="59">
        <v>0</v>
      </c>
      <c r="M643" s="132"/>
    </row>
    <row r="644" spans="1:13">
      <c r="A644" s="63"/>
      <c r="B644" s="71"/>
      <c r="C644" s="65" t="s">
        <v>45</v>
      </c>
      <c r="D644" s="66">
        <f>SUM(D643:D643)</f>
        <v>25000000</v>
      </c>
      <c r="E644" s="122">
        <f>SUM(E643:E643)</f>
        <v>0</v>
      </c>
      <c r="F644" s="202">
        <f>SUM(F643:F643)</f>
        <v>0</v>
      </c>
      <c r="G644" s="122" t="s">
        <v>132</v>
      </c>
      <c r="H644" s="66" t="s">
        <v>132</v>
      </c>
      <c r="I644" s="122" t="s">
        <v>132</v>
      </c>
      <c r="J644" s="155" t="s">
        <v>132</v>
      </c>
      <c r="K644" s="66">
        <f>SUM(K643:K643)</f>
        <v>0</v>
      </c>
      <c r="L644" s="66">
        <f>SUM(L643:L643)</f>
        <v>0</v>
      </c>
      <c r="M644" s="66"/>
    </row>
    <row r="645" spans="1:13">
      <c r="A645" s="44">
        <v>15</v>
      </c>
      <c r="B645" s="72" t="s">
        <v>61</v>
      </c>
      <c r="C645" s="73"/>
      <c r="D645" s="57"/>
      <c r="E645" s="119"/>
      <c r="F645" s="209"/>
      <c r="G645" s="119" t="s">
        <v>132</v>
      </c>
      <c r="H645" s="152" t="s">
        <v>132</v>
      </c>
      <c r="I645" s="119" t="s">
        <v>132</v>
      </c>
      <c r="J645" s="152" t="s">
        <v>132</v>
      </c>
      <c r="K645" s="152"/>
      <c r="L645" s="152"/>
      <c r="M645" s="131"/>
    </row>
    <row r="646" spans="1:13">
      <c r="A646" s="44"/>
      <c r="B646" s="47">
        <v>18</v>
      </c>
      <c r="C646" s="48" t="s">
        <v>62</v>
      </c>
      <c r="D646" s="60">
        <v>5000000</v>
      </c>
      <c r="E646" s="120">
        <v>0</v>
      </c>
      <c r="F646" s="208">
        <v>0</v>
      </c>
      <c r="G646" s="120" t="s">
        <v>132</v>
      </c>
      <c r="H646" s="59" t="s">
        <v>132</v>
      </c>
      <c r="I646" s="120" t="s">
        <v>132</v>
      </c>
      <c r="J646" s="59" t="s">
        <v>132</v>
      </c>
      <c r="K646" s="331">
        <f>5/12</f>
        <v>0.41666666666666669</v>
      </c>
      <c r="L646" s="59">
        <v>0</v>
      </c>
      <c r="M646" s="132"/>
    </row>
    <row r="647" spans="1:13" ht="25.5">
      <c r="A647" s="44"/>
      <c r="B647" s="49">
        <v>63</v>
      </c>
      <c r="C647" s="244" t="s">
        <v>63</v>
      </c>
      <c r="D647" s="62">
        <v>5000000</v>
      </c>
      <c r="E647" s="121">
        <v>0</v>
      </c>
      <c r="F647" s="210">
        <v>0</v>
      </c>
      <c r="G647" s="121" t="s">
        <v>132</v>
      </c>
      <c r="H647" s="153" t="s">
        <v>132</v>
      </c>
      <c r="I647" s="121" t="s">
        <v>132</v>
      </c>
      <c r="J647" s="153" t="s">
        <v>132</v>
      </c>
      <c r="K647" s="331">
        <f>5/12</f>
        <v>0.41666666666666669</v>
      </c>
      <c r="L647" s="153">
        <v>0</v>
      </c>
      <c r="M647" s="133"/>
    </row>
    <row r="648" spans="1:13">
      <c r="A648" s="63"/>
      <c r="B648" s="64"/>
      <c r="C648" s="65" t="s">
        <v>45</v>
      </c>
      <c r="D648" s="66">
        <f>SUM(D646:D647)</f>
        <v>10000000</v>
      </c>
      <c r="E648" s="122">
        <f t="shared" ref="E648" si="181">SUM(E646:E647)</f>
        <v>0</v>
      </c>
      <c r="F648" s="202">
        <f>SUM(F646:F647)</f>
        <v>0</v>
      </c>
      <c r="G648" s="195" t="s">
        <v>132</v>
      </c>
      <c r="H648" s="66" t="s">
        <v>132</v>
      </c>
      <c r="I648" s="195" t="s">
        <v>132</v>
      </c>
      <c r="J648" s="155" t="s">
        <v>132</v>
      </c>
      <c r="K648" s="356">
        <f>5/12</f>
        <v>0.41666666666666669</v>
      </c>
      <c r="L648" s="66">
        <f t="shared" ref="L648" si="182">SUM(L646:L647)</f>
        <v>0</v>
      </c>
      <c r="M648" s="66"/>
    </row>
    <row r="649" spans="1:13">
      <c r="A649" s="44">
        <v>30</v>
      </c>
      <c r="B649" s="77" t="s">
        <v>64</v>
      </c>
      <c r="C649" s="78"/>
      <c r="D649" s="57"/>
      <c r="E649" s="119"/>
      <c r="F649" s="209"/>
      <c r="G649" s="119"/>
      <c r="H649" s="152"/>
      <c r="I649" s="119"/>
      <c r="J649" s="152"/>
      <c r="K649" s="152"/>
      <c r="L649" s="152"/>
      <c r="M649" s="131"/>
    </row>
    <row r="650" spans="1:13">
      <c r="A650" s="44"/>
      <c r="B650" s="45">
        <v>2</v>
      </c>
      <c r="C650" s="79" t="s">
        <v>102</v>
      </c>
      <c r="D650" s="80">
        <v>200000000</v>
      </c>
      <c r="E650" s="124">
        <v>0</v>
      </c>
      <c r="F650" s="209">
        <v>0</v>
      </c>
      <c r="G650" s="124">
        <v>199258000</v>
      </c>
      <c r="H650" s="312">
        <f t="shared" ref="H650" si="183">G650/D650*100</f>
        <v>99.629000000000005</v>
      </c>
      <c r="I650" s="120">
        <f>G650</f>
        <v>199258000</v>
      </c>
      <c r="J650" s="301">
        <f>I650/D650*100</f>
        <v>99.629000000000005</v>
      </c>
      <c r="K650" s="355">
        <f>5/12</f>
        <v>0.41666666666666669</v>
      </c>
      <c r="L650" s="152"/>
      <c r="M650" s="131"/>
    </row>
    <row r="651" spans="1:13">
      <c r="A651" s="63"/>
      <c r="B651" s="64"/>
      <c r="C651" s="65" t="s">
        <v>45</v>
      </c>
      <c r="D651" s="66">
        <f>SUM(D649:D650)</f>
        <v>200000000</v>
      </c>
      <c r="E651" s="66">
        <f>SUM(E649:E650)</f>
        <v>0</v>
      </c>
      <c r="F651" s="202">
        <f>SUM(F649:F650)</f>
        <v>0</v>
      </c>
      <c r="G651" s="122">
        <f>SUM(G650)</f>
        <v>199258000</v>
      </c>
      <c r="H651" s="323">
        <f>G651/D651*100</f>
        <v>99.629000000000005</v>
      </c>
      <c r="I651" s="122">
        <f>SUM(I650)</f>
        <v>199258000</v>
      </c>
      <c r="J651" s="323">
        <f>I651/D651*100</f>
        <v>99.629000000000005</v>
      </c>
      <c r="K651" s="356">
        <f>5/12</f>
        <v>0.41666666666666669</v>
      </c>
      <c r="L651" s="66">
        <f t="shared" ref="L651" si="184">SUM(L649:L650)</f>
        <v>0</v>
      </c>
      <c r="M651" s="66"/>
    </row>
    <row r="652" spans="1:13">
      <c r="A652" s="44">
        <v>21</v>
      </c>
      <c r="B652" s="81" t="s">
        <v>65</v>
      </c>
      <c r="C652" s="82"/>
      <c r="D652" s="57"/>
      <c r="E652" s="119"/>
      <c r="F652" s="209"/>
      <c r="G652" s="119"/>
      <c r="H652" s="152"/>
      <c r="I652" s="119"/>
      <c r="J652" s="152"/>
      <c r="K652" s="152"/>
      <c r="L652" s="152"/>
      <c r="M652" s="131"/>
    </row>
    <row r="653" spans="1:13">
      <c r="A653" s="44"/>
      <c r="B653" s="47" t="s">
        <v>46</v>
      </c>
      <c r="C653" s="48" t="s">
        <v>66</v>
      </c>
      <c r="D653" s="60">
        <v>20000000</v>
      </c>
      <c r="E653" s="125">
        <v>0</v>
      </c>
      <c r="F653" s="211">
        <v>0</v>
      </c>
      <c r="G653" s="199">
        <v>20000000</v>
      </c>
      <c r="H653" s="312">
        <f>G653/D653*100</f>
        <v>100</v>
      </c>
      <c r="I653" s="197">
        <f>G653</f>
        <v>20000000</v>
      </c>
      <c r="J653" s="59">
        <f>H653</f>
        <v>100</v>
      </c>
      <c r="K653" s="349">
        <f>5/12</f>
        <v>0.41666666666666669</v>
      </c>
      <c r="L653" s="59">
        <f>J653</f>
        <v>100</v>
      </c>
      <c r="M653" s="132"/>
    </row>
    <row r="654" spans="1:13">
      <c r="A654" s="63"/>
      <c r="B654" s="83"/>
      <c r="C654" s="65" t="s">
        <v>45</v>
      </c>
      <c r="D654" s="66">
        <f>SUM(D653:D653)</f>
        <v>20000000</v>
      </c>
      <c r="E654" s="66">
        <f t="shared" ref="E654:F654" si="185">SUM(E651:E653)</f>
        <v>0</v>
      </c>
      <c r="F654" s="202">
        <f t="shared" si="185"/>
        <v>0</v>
      </c>
      <c r="G654" s="122">
        <f>SUM(G653)</f>
        <v>20000000</v>
      </c>
      <c r="H654" s="323">
        <f>G654/D654*100</f>
        <v>100</v>
      </c>
      <c r="I654" s="122">
        <f>SUM(I653)</f>
        <v>20000000</v>
      </c>
      <c r="J654" s="66">
        <f>H654</f>
        <v>100</v>
      </c>
      <c r="K654" s="350">
        <f>5/12</f>
        <v>0.41666666666666669</v>
      </c>
      <c r="L654" s="66">
        <f t="shared" ref="L654" si="186">SUM(L651:L653)</f>
        <v>100</v>
      </c>
      <c r="M654" s="66"/>
    </row>
    <row r="655" spans="1:13">
      <c r="A655" s="84">
        <v>18</v>
      </c>
      <c r="B655" s="826" t="s">
        <v>96</v>
      </c>
      <c r="C655" s="827"/>
      <c r="D655" s="57"/>
      <c r="E655" s="119"/>
      <c r="F655" s="209"/>
      <c r="G655" s="119"/>
      <c r="H655" s="152"/>
      <c r="I655" s="119"/>
      <c r="J655" s="152"/>
      <c r="K655" s="152"/>
      <c r="L655" s="152"/>
      <c r="M655" s="131"/>
    </row>
    <row r="656" spans="1:13">
      <c r="A656" s="84"/>
      <c r="B656" s="830" t="s">
        <v>95</v>
      </c>
      <c r="C656" s="831"/>
      <c r="D656" s="57"/>
      <c r="E656" s="124"/>
      <c r="F656" s="209"/>
      <c r="G656" s="119"/>
      <c r="H656" s="152"/>
      <c r="I656" s="119"/>
      <c r="J656" s="152"/>
      <c r="K656" s="152"/>
      <c r="L656" s="152"/>
      <c r="M656" s="131"/>
    </row>
    <row r="657" spans="1:13">
      <c r="A657" s="44"/>
      <c r="B657" s="47" t="s">
        <v>26</v>
      </c>
      <c r="C657" s="48" t="s">
        <v>67</v>
      </c>
      <c r="D657" s="60">
        <v>20000000</v>
      </c>
      <c r="E657" s="125">
        <v>0</v>
      </c>
      <c r="F657" s="211">
        <v>0</v>
      </c>
      <c r="G657" s="199" t="s">
        <v>132</v>
      </c>
      <c r="H657" s="59" t="s">
        <v>132</v>
      </c>
      <c r="I657" s="119" t="str">
        <f t="shared" ref="I657" si="187">G657</f>
        <v>-</v>
      </c>
      <c r="J657" s="59" t="s">
        <v>132</v>
      </c>
      <c r="K657" s="59">
        <v>0</v>
      </c>
      <c r="L657" s="59">
        <v>0</v>
      </c>
      <c r="M657" s="132"/>
    </row>
    <row r="658" spans="1:13">
      <c r="A658" s="44"/>
      <c r="B658" s="47" t="s">
        <v>29</v>
      </c>
      <c r="C658" s="204" t="s">
        <v>220</v>
      </c>
      <c r="D658" s="179">
        <v>7000000</v>
      </c>
      <c r="E658" s="180">
        <v>0</v>
      </c>
      <c r="F658" s="181">
        <v>0</v>
      </c>
      <c r="G658" s="207" t="s">
        <v>132</v>
      </c>
      <c r="H658" s="148" t="s">
        <v>132</v>
      </c>
      <c r="I658" s="119" t="s">
        <v>132</v>
      </c>
      <c r="J658" s="148" t="s">
        <v>132</v>
      </c>
      <c r="K658" s="59">
        <v>0</v>
      </c>
      <c r="L658" s="148">
        <v>0</v>
      </c>
      <c r="M658" s="165"/>
    </row>
    <row r="659" spans="1:13">
      <c r="A659" s="44"/>
      <c r="B659" s="47"/>
      <c r="C659" s="48" t="s">
        <v>117</v>
      </c>
      <c r="D659" s="60"/>
      <c r="E659" s="125"/>
      <c r="F659" s="135"/>
      <c r="G659" s="199"/>
      <c r="H659" s="59"/>
      <c r="I659" s="197"/>
      <c r="J659" s="59"/>
      <c r="K659" s="59"/>
      <c r="L659" s="59"/>
      <c r="M659" s="132"/>
    </row>
    <row r="660" spans="1:13">
      <c r="A660" s="63"/>
      <c r="B660" s="71"/>
      <c r="C660" s="65" t="s">
        <v>45</v>
      </c>
      <c r="D660" s="66">
        <f>SUM(D657:D659)</f>
        <v>27000000</v>
      </c>
      <c r="E660" s="66">
        <f t="shared" ref="E660" si="188">SUM(E657:E657)</f>
        <v>0</v>
      </c>
      <c r="F660" s="66">
        <f>SUM(F657:F657)</f>
        <v>0</v>
      </c>
      <c r="G660" s="122" t="s">
        <v>132</v>
      </c>
      <c r="H660" s="66" t="s">
        <v>132</v>
      </c>
      <c r="I660" s="122" t="s">
        <v>132</v>
      </c>
      <c r="J660" s="66" t="s">
        <v>132</v>
      </c>
      <c r="K660" s="66">
        <f>SUM(K657:K659)</f>
        <v>0</v>
      </c>
      <c r="L660" s="66">
        <f t="shared" ref="L660" si="189">SUM(L657:L657)</f>
        <v>0</v>
      </c>
      <c r="M660" s="66"/>
    </row>
    <row r="661" spans="1:13">
      <c r="A661" s="84">
        <v>17</v>
      </c>
      <c r="B661" s="826" t="s">
        <v>130</v>
      </c>
      <c r="C661" s="827"/>
      <c r="D661" s="57"/>
      <c r="E661" s="119"/>
      <c r="F661" s="131"/>
      <c r="G661" s="119"/>
      <c r="H661" s="152"/>
      <c r="I661" s="119"/>
      <c r="J661" s="152"/>
      <c r="K661" s="152"/>
      <c r="L661" s="152"/>
      <c r="M661" s="131"/>
    </row>
    <row r="662" spans="1:13">
      <c r="A662" s="44"/>
      <c r="B662" s="47" t="s">
        <v>53</v>
      </c>
      <c r="C662" s="48" t="s">
        <v>131</v>
      </c>
      <c r="D662" s="60">
        <v>24000000</v>
      </c>
      <c r="E662" s="125">
        <v>0</v>
      </c>
      <c r="F662" s="135">
        <v>0</v>
      </c>
      <c r="G662" s="197" t="s">
        <v>132</v>
      </c>
      <c r="H662" s="59" t="s">
        <v>132</v>
      </c>
      <c r="I662" s="197" t="s">
        <v>132</v>
      </c>
      <c r="J662" s="59" t="s">
        <v>132</v>
      </c>
      <c r="K662" s="59">
        <v>0</v>
      </c>
      <c r="L662" s="59">
        <v>0</v>
      </c>
      <c r="M662" s="132"/>
    </row>
    <row r="663" spans="1:13">
      <c r="A663" s="63"/>
      <c r="B663" s="64"/>
      <c r="C663" s="65" t="s">
        <v>45</v>
      </c>
      <c r="D663" s="66">
        <f>SUM(D662:D662)</f>
        <v>24000000</v>
      </c>
      <c r="E663" s="66">
        <f t="shared" ref="E663:F663" si="190">SUM(E661:E662)</f>
        <v>0</v>
      </c>
      <c r="F663" s="66">
        <f t="shared" si="190"/>
        <v>0</v>
      </c>
      <c r="G663" s="122" t="s">
        <v>132</v>
      </c>
      <c r="H663" s="66" t="s">
        <v>132</v>
      </c>
      <c r="I663" s="122" t="s">
        <v>132</v>
      </c>
      <c r="J663" s="66" t="s">
        <v>132</v>
      </c>
      <c r="K663" s="66">
        <f t="shared" ref="K663:L663" si="191">SUM(K661:K662)</f>
        <v>0</v>
      </c>
      <c r="L663" s="66">
        <f t="shared" si="191"/>
        <v>0</v>
      </c>
      <c r="M663" s="66"/>
    </row>
    <row r="664" spans="1:13">
      <c r="A664" s="44">
        <v>15</v>
      </c>
      <c r="B664" s="542" t="s">
        <v>68</v>
      </c>
      <c r="C664" s="86"/>
      <c r="D664" s="57"/>
      <c r="E664" s="119"/>
      <c r="F664" s="131"/>
      <c r="G664" s="119"/>
      <c r="H664" s="152"/>
      <c r="I664" s="119"/>
      <c r="J664" s="152"/>
      <c r="K664" s="152"/>
      <c r="L664" s="152"/>
      <c r="M664" s="131"/>
    </row>
    <row r="665" spans="1:13" ht="26.25">
      <c r="A665" s="44"/>
      <c r="B665" s="49" t="s">
        <v>80</v>
      </c>
      <c r="C665" s="50" t="s">
        <v>118</v>
      </c>
      <c r="D665" s="62">
        <v>10000000</v>
      </c>
      <c r="E665" s="125">
        <v>0</v>
      </c>
      <c r="F665" s="135">
        <v>0</v>
      </c>
      <c r="G665" s="119" t="s">
        <v>132</v>
      </c>
      <c r="H665" s="59" t="s">
        <v>132</v>
      </c>
      <c r="I665" s="119" t="s">
        <v>132</v>
      </c>
      <c r="J665" s="59" t="s">
        <v>132</v>
      </c>
      <c r="K665" s="339">
        <f>5/12</f>
        <v>0.41666666666666669</v>
      </c>
      <c r="L665" s="59">
        <v>0</v>
      </c>
      <c r="M665" s="132"/>
    </row>
    <row r="666" spans="1:13">
      <c r="A666" s="44"/>
      <c r="B666" s="49" t="s">
        <v>69</v>
      </c>
      <c r="C666" s="50" t="s">
        <v>70</v>
      </c>
      <c r="D666" s="62">
        <v>60000000</v>
      </c>
      <c r="E666" s="125">
        <v>0</v>
      </c>
      <c r="F666" s="135">
        <v>0</v>
      </c>
      <c r="G666" s="197">
        <v>30000000</v>
      </c>
      <c r="H666" s="312">
        <f>G666/D666*100</f>
        <v>50</v>
      </c>
      <c r="I666" s="197">
        <f>G666</f>
        <v>30000000</v>
      </c>
      <c r="J666" s="301">
        <f>H666</f>
        <v>50</v>
      </c>
      <c r="K666" s="349">
        <f>5/12</f>
        <v>0.41666666666666669</v>
      </c>
      <c r="L666" s="59">
        <v>0</v>
      </c>
      <c r="M666" s="132"/>
    </row>
    <row r="667" spans="1:13">
      <c r="A667" s="63"/>
      <c r="B667" s="64"/>
      <c r="C667" s="65" t="s">
        <v>45</v>
      </c>
      <c r="D667" s="66">
        <f>SUM(D665:D666)</f>
        <v>70000000</v>
      </c>
      <c r="E667" s="66">
        <f>SUM(E663:E666)</f>
        <v>0</v>
      </c>
      <c r="F667" s="66">
        <f>SUM(F663:F666)</f>
        <v>0</v>
      </c>
      <c r="G667" s="122">
        <f>SUM(G666)</f>
        <v>30000000</v>
      </c>
      <c r="H667" s="323">
        <f>G667/D667*100</f>
        <v>42.857142857142854</v>
      </c>
      <c r="I667" s="122">
        <f>SUM(I666)</f>
        <v>30000000</v>
      </c>
      <c r="J667" s="302">
        <f>H667</f>
        <v>42.857142857142854</v>
      </c>
      <c r="K667" s="356">
        <f>5/12</f>
        <v>0.41666666666666669</v>
      </c>
      <c r="L667" s="66">
        <f>SUM(L663:L666)</f>
        <v>0</v>
      </c>
      <c r="M667" s="66"/>
    </row>
    <row r="668" spans="1:13">
      <c r="A668" s="44">
        <v>16</v>
      </c>
      <c r="B668" s="81" t="s">
        <v>71</v>
      </c>
      <c r="C668" s="82"/>
      <c r="D668" s="57"/>
      <c r="E668" s="119"/>
      <c r="F668" s="131"/>
      <c r="G668" s="119"/>
      <c r="H668" s="152"/>
      <c r="I668" s="119"/>
      <c r="J668" s="152"/>
      <c r="K668" s="152"/>
      <c r="L668" s="152"/>
      <c r="M668" s="131"/>
    </row>
    <row r="669" spans="1:13">
      <c r="A669" s="44"/>
      <c r="B669" s="47" t="s">
        <v>72</v>
      </c>
      <c r="C669" s="48" t="s">
        <v>73</v>
      </c>
      <c r="D669" s="60">
        <v>5000000</v>
      </c>
      <c r="E669" s="120">
        <v>0</v>
      </c>
      <c r="F669" s="132">
        <v>0</v>
      </c>
      <c r="G669" s="120">
        <v>5000000</v>
      </c>
      <c r="H669" s="312">
        <f>G669/D669*100</f>
        <v>100</v>
      </c>
      <c r="I669" s="313">
        <f t="shared" ref="I669:I670" si="192">G669</f>
        <v>5000000</v>
      </c>
      <c r="J669" s="314">
        <f t="shared" ref="J669:J670" si="193">I669/D669*100</f>
        <v>100</v>
      </c>
      <c r="K669" s="339">
        <f>5/12</f>
        <v>0.41666666666666669</v>
      </c>
      <c r="L669" s="311">
        <f>J669</f>
        <v>100</v>
      </c>
      <c r="M669" s="132"/>
    </row>
    <row r="670" spans="1:13">
      <c r="A670" s="63"/>
      <c r="B670" s="83"/>
      <c r="C670" s="65" t="s">
        <v>45</v>
      </c>
      <c r="D670" s="66">
        <f>SUM(D669:D669)</f>
        <v>5000000</v>
      </c>
      <c r="E670" s="122">
        <f>SUM(E669:E669)</f>
        <v>0</v>
      </c>
      <c r="F670" s="66">
        <f>SUM(F669:F669)</f>
        <v>0</v>
      </c>
      <c r="G670" s="195">
        <f>G669</f>
        <v>5000000</v>
      </c>
      <c r="H670" s="310">
        <f>G670/D670*100</f>
        <v>100</v>
      </c>
      <c r="I670" s="192">
        <f t="shared" si="192"/>
        <v>5000000</v>
      </c>
      <c r="J670" s="311">
        <f t="shared" si="193"/>
        <v>100</v>
      </c>
      <c r="K670" s="333">
        <f>SUM(K669)</f>
        <v>0.41666666666666669</v>
      </c>
      <c r="L670" s="302">
        <f>SUM(L669)</f>
        <v>100</v>
      </c>
      <c r="M670" s="66"/>
    </row>
    <row r="671" spans="1:13">
      <c r="A671" s="87" t="s">
        <v>69</v>
      </c>
      <c r="B671" s="826" t="s">
        <v>89</v>
      </c>
      <c r="C671" s="827"/>
      <c r="D671" s="70"/>
      <c r="E671" s="123"/>
      <c r="F671" s="134"/>
      <c r="G671" s="123"/>
      <c r="H671" s="156"/>
      <c r="I671" s="123"/>
      <c r="J671" s="156"/>
      <c r="K671" s="156"/>
      <c r="L671" s="156"/>
      <c r="M671" s="134"/>
    </row>
    <row r="672" spans="1:13">
      <c r="A672" s="88"/>
      <c r="B672" s="830" t="s">
        <v>88</v>
      </c>
      <c r="C672" s="831"/>
      <c r="D672" s="57"/>
      <c r="E672" s="119"/>
      <c r="F672" s="131"/>
      <c r="G672" s="119"/>
      <c r="H672" s="152"/>
      <c r="I672" s="119"/>
      <c r="J672" s="152"/>
      <c r="K672" s="152"/>
      <c r="L672" s="152"/>
      <c r="M672" s="131"/>
    </row>
    <row r="673" spans="1:13">
      <c r="A673" s="89"/>
      <c r="B673" s="61" t="s">
        <v>26</v>
      </c>
      <c r="C673" s="90" t="s">
        <v>74</v>
      </c>
      <c r="D673" s="91">
        <v>15000000</v>
      </c>
      <c r="E673" s="126">
        <v>0</v>
      </c>
      <c r="F673" s="136">
        <v>0</v>
      </c>
      <c r="G673" s="126">
        <v>15000000</v>
      </c>
      <c r="H673" s="312">
        <f>G673/D673*100</f>
        <v>100</v>
      </c>
      <c r="I673" s="313">
        <f t="shared" ref="I673:I674" si="194">G673</f>
        <v>15000000</v>
      </c>
      <c r="J673" s="314">
        <f t="shared" ref="J673:J674" si="195">I673/D673*100</f>
        <v>100</v>
      </c>
      <c r="K673" s="339">
        <f>5/12</f>
        <v>0.41666666666666669</v>
      </c>
      <c r="L673" s="311">
        <f>J673</f>
        <v>100</v>
      </c>
      <c r="M673" s="136"/>
    </row>
    <row r="674" spans="1:13">
      <c r="A674" s="63"/>
      <c r="B674" s="83"/>
      <c r="C674" s="65" t="s">
        <v>45</v>
      </c>
      <c r="D674" s="66">
        <f>SUM(D673:D673)</f>
        <v>15000000</v>
      </c>
      <c r="E674" s="122">
        <f>SUM(E673:E673)</f>
        <v>0</v>
      </c>
      <c r="F674" s="66">
        <f>SUM(F673:F673)</f>
        <v>0</v>
      </c>
      <c r="G674" s="126">
        <f>SUM(G673)</f>
        <v>15000000</v>
      </c>
      <c r="H674" s="316">
        <f>G674/D674*100</f>
        <v>100</v>
      </c>
      <c r="I674" s="315">
        <f t="shared" si="194"/>
        <v>15000000</v>
      </c>
      <c r="J674" s="317">
        <f t="shared" si="195"/>
        <v>100</v>
      </c>
      <c r="K674" s="333">
        <f>SUM(K673)</f>
        <v>0.41666666666666669</v>
      </c>
      <c r="L674" s="302">
        <f>SUM(L673)</f>
        <v>100</v>
      </c>
      <c r="M674" s="66"/>
    </row>
    <row r="675" spans="1:13">
      <c r="A675" s="88"/>
      <c r="B675" s="826" t="s">
        <v>94</v>
      </c>
      <c r="C675" s="827"/>
      <c r="D675" s="57"/>
      <c r="E675" s="119"/>
      <c r="F675" s="131"/>
      <c r="G675" s="119"/>
      <c r="H675" s="152"/>
      <c r="I675" s="119"/>
      <c r="J675" s="152"/>
      <c r="K675" s="152"/>
      <c r="L675" s="152"/>
      <c r="M675" s="131"/>
    </row>
    <row r="676" spans="1:13">
      <c r="A676" s="84"/>
      <c r="B676" s="92" t="s">
        <v>26</v>
      </c>
      <c r="C676" s="48" t="s">
        <v>134</v>
      </c>
      <c r="D676" s="60">
        <v>4000000</v>
      </c>
      <c r="E676" s="125">
        <v>0</v>
      </c>
      <c r="F676" s="135">
        <v>0</v>
      </c>
      <c r="G676" s="197" t="s">
        <v>132</v>
      </c>
      <c r="H676" s="59" t="s">
        <v>132</v>
      </c>
      <c r="I676" s="197" t="s">
        <v>132</v>
      </c>
      <c r="J676" s="59" t="s">
        <v>132</v>
      </c>
      <c r="K676" s="339">
        <f>5/12</f>
        <v>0.41666666666666669</v>
      </c>
      <c r="L676" s="59">
        <v>0</v>
      </c>
      <c r="M676" s="132"/>
    </row>
    <row r="677" spans="1:13">
      <c r="A677" s="93"/>
      <c r="B677" s="64"/>
      <c r="C677" s="65" t="s">
        <v>45</v>
      </c>
      <c r="D677" s="66">
        <f>SUM(D676:D676)</f>
        <v>4000000</v>
      </c>
      <c r="E677" s="66">
        <f t="shared" ref="E677:F677" si="196">SUM(E671:E676)</f>
        <v>0</v>
      </c>
      <c r="F677" s="66">
        <f t="shared" si="196"/>
        <v>0</v>
      </c>
      <c r="G677" s="122" t="s">
        <v>132</v>
      </c>
      <c r="H677" s="66" t="s">
        <v>132</v>
      </c>
      <c r="I677" s="122" t="s">
        <v>132</v>
      </c>
      <c r="J677" s="66" t="s">
        <v>132</v>
      </c>
      <c r="K677" s="339">
        <f>5/12</f>
        <v>0.41666666666666669</v>
      </c>
      <c r="L677" s="66">
        <v>0</v>
      </c>
      <c r="M677" s="66"/>
    </row>
    <row r="678" spans="1:13">
      <c r="A678" s="84">
        <v>16</v>
      </c>
      <c r="B678" s="826" t="s">
        <v>75</v>
      </c>
      <c r="C678" s="827"/>
      <c r="D678" s="57"/>
      <c r="E678" s="119"/>
      <c r="F678" s="131"/>
      <c r="G678" s="119"/>
      <c r="H678" s="156"/>
      <c r="I678" s="123"/>
      <c r="J678" s="152"/>
      <c r="K678" s="152"/>
      <c r="L678" s="152"/>
      <c r="M678" s="131"/>
    </row>
    <row r="679" spans="1:13">
      <c r="A679" s="84"/>
      <c r="B679" s="94" t="s">
        <v>72</v>
      </c>
      <c r="C679" s="95" t="s">
        <v>103</v>
      </c>
      <c r="D679" s="80">
        <v>10000000</v>
      </c>
      <c r="E679" s="124"/>
      <c r="F679" s="131"/>
      <c r="G679" s="218">
        <v>3000000</v>
      </c>
      <c r="H679" s="312">
        <f>G679/D679*100</f>
        <v>30</v>
      </c>
      <c r="I679" s="313">
        <f t="shared" ref="I679" si="197">G679</f>
        <v>3000000</v>
      </c>
      <c r="J679" s="314">
        <f t="shared" ref="J679" si="198">I679/D679*100</f>
        <v>30</v>
      </c>
      <c r="K679" s="339">
        <f>5/12</f>
        <v>0.41666666666666669</v>
      </c>
      <c r="L679" s="311">
        <f>J679</f>
        <v>30</v>
      </c>
      <c r="M679" s="131"/>
    </row>
    <row r="680" spans="1:13">
      <c r="A680" s="93"/>
      <c r="B680" s="83"/>
      <c r="C680" s="65" t="s">
        <v>45</v>
      </c>
      <c r="D680" s="66">
        <f>SUM(D679)</f>
        <v>10000000</v>
      </c>
      <c r="E680" s="66">
        <f t="shared" ref="E680:F680" si="199">SUM(E678:E679)</f>
        <v>0</v>
      </c>
      <c r="F680" s="66">
        <f t="shared" si="199"/>
        <v>0</v>
      </c>
      <c r="G680" s="122">
        <f>SUM(G679)</f>
        <v>3000000</v>
      </c>
      <c r="H680" s="302">
        <f t="shared" ref="H680:J680" si="200">SUM(H679)</f>
        <v>30</v>
      </c>
      <c r="I680" s="122">
        <f t="shared" si="200"/>
        <v>3000000</v>
      </c>
      <c r="J680" s="302">
        <f t="shared" si="200"/>
        <v>30</v>
      </c>
      <c r="K680" s="333">
        <f>SUM(K679)</f>
        <v>0.41666666666666669</v>
      </c>
      <c r="L680" s="302">
        <f t="shared" ref="L680" si="201">SUM(L679)</f>
        <v>30</v>
      </c>
      <c r="M680" s="66"/>
    </row>
    <row r="681" spans="1:13">
      <c r="A681" s="84">
        <v>22</v>
      </c>
      <c r="B681" s="826" t="s">
        <v>87</v>
      </c>
      <c r="C681" s="827"/>
      <c r="D681" s="57"/>
      <c r="E681" s="119"/>
      <c r="F681" s="131"/>
      <c r="G681" s="119"/>
      <c r="H681" s="152"/>
      <c r="I681" s="119"/>
      <c r="J681" s="152"/>
      <c r="K681" s="152"/>
      <c r="L681" s="152"/>
      <c r="M681" s="131"/>
    </row>
    <row r="682" spans="1:13" ht="25.5">
      <c r="A682" s="84"/>
      <c r="B682" s="47" t="s">
        <v>26</v>
      </c>
      <c r="C682" s="95" t="s">
        <v>76</v>
      </c>
      <c r="D682" s="60">
        <v>3500000</v>
      </c>
      <c r="E682" s="125">
        <v>0</v>
      </c>
      <c r="F682" s="135">
        <v>0</v>
      </c>
      <c r="G682" s="197">
        <v>875000</v>
      </c>
      <c r="H682" s="312">
        <f>G682/D682*100</f>
        <v>25</v>
      </c>
      <c r="I682" s="197">
        <f>G682</f>
        <v>875000</v>
      </c>
      <c r="J682" s="314">
        <f t="shared" ref="J682:J683" si="202">I682/D682*100</f>
        <v>25</v>
      </c>
      <c r="K682" s="339">
        <f>5/12</f>
        <v>0.41666666666666669</v>
      </c>
      <c r="L682" s="311">
        <f>J682</f>
        <v>25</v>
      </c>
      <c r="M682" s="132"/>
    </row>
    <row r="683" spans="1:13">
      <c r="A683" s="63"/>
      <c r="B683" s="83"/>
      <c r="C683" s="65" t="s">
        <v>45</v>
      </c>
      <c r="D683" s="66">
        <f>SUM(D682:D682)</f>
        <v>3500000</v>
      </c>
      <c r="E683" s="66">
        <f t="shared" ref="E683:F683" si="203">SUM(E680:E682)</f>
        <v>0</v>
      </c>
      <c r="F683" s="66">
        <f t="shared" si="203"/>
        <v>0</v>
      </c>
      <c r="G683" s="122">
        <f>SUM(G682)</f>
        <v>875000</v>
      </c>
      <c r="H683" s="312">
        <f>G683/D683*100</f>
        <v>25</v>
      </c>
      <c r="I683" s="122">
        <f>SUM(I682)</f>
        <v>875000</v>
      </c>
      <c r="J683" s="314">
        <f t="shared" si="202"/>
        <v>25</v>
      </c>
      <c r="K683" s="333">
        <f>SUM(K682)</f>
        <v>0.41666666666666669</v>
      </c>
      <c r="L683" s="302">
        <f>SUM(L682)</f>
        <v>25</v>
      </c>
      <c r="M683" s="66"/>
    </row>
    <row r="684" spans="1:13">
      <c r="A684" s="44">
        <v>17</v>
      </c>
      <c r="B684" s="822" t="s">
        <v>56</v>
      </c>
      <c r="C684" s="823"/>
      <c r="D684" s="57"/>
      <c r="E684" s="119"/>
      <c r="F684" s="131"/>
      <c r="G684" s="119"/>
      <c r="H684" s="152"/>
      <c r="I684" s="119"/>
      <c r="J684" s="152"/>
      <c r="K684" s="152"/>
      <c r="L684" s="152"/>
      <c r="M684" s="131"/>
    </row>
    <row r="685" spans="1:13">
      <c r="A685" s="44"/>
      <c r="B685" s="47">
        <v>19</v>
      </c>
      <c r="C685" s="824" t="s">
        <v>91</v>
      </c>
      <c r="E685" s="120"/>
      <c r="F685" s="132"/>
      <c r="G685" s="119"/>
      <c r="H685" s="59"/>
      <c r="I685" s="119"/>
      <c r="J685" s="59"/>
      <c r="K685" s="59"/>
      <c r="L685" s="59"/>
      <c r="M685" s="132"/>
    </row>
    <row r="686" spans="1:13">
      <c r="A686" s="44"/>
      <c r="B686" s="163"/>
      <c r="C686" s="825"/>
      <c r="D686" s="60">
        <v>25000000</v>
      </c>
      <c r="E686" s="164">
        <v>0</v>
      </c>
      <c r="F686" s="165">
        <v>0</v>
      </c>
      <c r="G686" s="330">
        <v>5980000</v>
      </c>
      <c r="H686" s="312">
        <f>G686/D686*100</f>
        <v>23.919999999999998</v>
      </c>
      <c r="I686" s="197">
        <f>G686</f>
        <v>5980000</v>
      </c>
      <c r="J686" s="314">
        <f t="shared" ref="J686" si="204">I686/D686*100</f>
        <v>23.919999999999998</v>
      </c>
      <c r="K686" s="339">
        <f>5/12</f>
        <v>0.41666666666666669</v>
      </c>
      <c r="L686" s="314">
        <f>J686</f>
        <v>23.919999999999998</v>
      </c>
      <c r="M686" s="165"/>
    </row>
    <row r="687" spans="1:13">
      <c r="A687" s="63"/>
      <c r="B687" s="96"/>
      <c r="C687" s="65" t="s">
        <v>45</v>
      </c>
      <c r="D687" s="66">
        <f>SUM(D686:D686)</f>
        <v>25000000</v>
      </c>
      <c r="E687" s="122">
        <f>SUM(E685:E685)</f>
        <v>0</v>
      </c>
      <c r="F687" s="137">
        <f>SUM(F685:F685)</f>
        <v>0</v>
      </c>
      <c r="G687" s="122">
        <f>SUM(G686)</f>
        <v>5980000</v>
      </c>
      <c r="H687" s="302">
        <f>SUM(H686)</f>
        <v>23.919999999999998</v>
      </c>
      <c r="I687" s="122">
        <f>SUM(I686)</f>
        <v>5980000</v>
      </c>
      <c r="J687" s="324">
        <f>SUM(J686)</f>
        <v>23.919999999999998</v>
      </c>
      <c r="K687" s="333">
        <f>SUM(K686)</f>
        <v>0.41666666666666669</v>
      </c>
      <c r="L687" s="340">
        <f>J687</f>
        <v>23.919999999999998</v>
      </c>
      <c r="M687" s="137"/>
    </row>
    <row r="688" spans="1:13">
      <c r="A688" s="44">
        <v>19</v>
      </c>
      <c r="B688" s="826" t="s">
        <v>57</v>
      </c>
      <c r="C688" s="827"/>
      <c r="D688" s="57"/>
      <c r="E688" s="119"/>
      <c r="F688" s="131"/>
      <c r="G688" s="119"/>
      <c r="H688" s="152"/>
      <c r="I688" s="119"/>
      <c r="J688" s="152"/>
      <c r="K688" s="152"/>
      <c r="L688" s="152"/>
      <c r="M688" s="131"/>
    </row>
    <row r="689" spans="1:13">
      <c r="A689" s="44"/>
      <c r="B689" s="47" t="s">
        <v>26</v>
      </c>
      <c r="C689" s="48" t="s">
        <v>58</v>
      </c>
      <c r="D689" s="60">
        <v>15000000</v>
      </c>
      <c r="E689" s="120">
        <v>0</v>
      </c>
      <c r="F689" s="132">
        <v>0</v>
      </c>
      <c r="G689" s="197">
        <v>15000000</v>
      </c>
      <c r="H689" s="59">
        <f>G689/D689*100</f>
        <v>100</v>
      </c>
      <c r="I689" s="197">
        <f>G689</f>
        <v>15000000</v>
      </c>
      <c r="J689" s="301">
        <f>I689/D689*100</f>
        <v>100</v>
      </c>
      <c r="K689" s="339">
        <f>5/12</f>
        <v>0.41666666666666669</v>
      </c>
      <c r="L689" s="311">
        <f>J689</f>
        <v>100</v>
      </c>
      <c r="M689" s="132"/>
    </row>
    <row r="690" spans="1:13">
      <c r="A690" s="183"/>
      <c r="B690" s="64"/>
      <c r="C690" s="65" t="s">
        <v>45</v>
      </c>
      <c r="D690" s="66">
        <f>SUM(D689)</f>
        <v>15000000</v>
      </c>
      <c r="E690" s="122">
        <f>SUM(E687:E687)</f>
        <v>0</v>
      </c>
      <c r="F690" s="66">
        <f>SUM(F687:F687)</f>
        <v>0</v>
      </c>
      <c r="G690" s="122">
        <f>G689</f>
        <v>15000000</v>
      </c>
      <c r="H690" s="66">
        <f>G690/D690*100</f>
        <v>100</v>
      </c>
      <c r="I690" s="122">
        <f>I689</f>
        <v>15000000</v>
      </c>
      <c r="J690" s="324">
        <f>I690/D690*100</f>
        <v>100</v>
      </c>
      <c r="K690" s="333">
        <f>SUM(K689)</f>
        <v>0.41666666666666669</v>
      </c>
      <c r="L690" s="302">
        <f>SUM(L689)</f>
        <v>100</v>
      </c>
      <c r="M690" s="66"/>
    </row>
    <row r="691" spans="1:13">
      <c r="A691" s="44">
        <v>32</v>
      </c>
      <c r="B691" s="97" t="s">
        <v>59</v>
      </c>
      <c r="C691" s="98"/>
      <c r="D691" s="57"/>
      <c r="E691" s="119"/>
      <c r="F691" s="131"/>
      <c r="G691" s="119"/>
      <c r="H691" s="152"/>
      <c r="I691" s="119"/>
      <c r="J691" s="152"/>
      <c r="K691" s="152"/>
      <c r="L691" s="152"/>
      <c r="M691" s="131"/>
    </row>
    <row r="692" spans="1:13">
      <c r="A692" s="44"/>
      <c r="B692" s="47" t="s">
        <v>26</v>
      </c>
      <c r="C692" s="58" t="s">
        <v>60</v>
      </c>
      <c r="D692" s="60">
        <v>15000000</v>
      </c>
      <c r="E692" s="120">
        <v>0</v>
      </c>
      <c r="F692" s="132">
        <v>0</v>
      </c>
      <c r="G692" s="197">
        <f>750000+225000</f>
        <v>975000</v>
      </c>
      <c r="H692" s="301">
        <f>G692/D692*100</f>
        <v>6.5</v>
      </c>
      <c r="I692" s="192">
        <f>G692</f>
        <v>975000</v>
      </c>
      <c r="J692" s="301">
        <f>I692/D692*100</f>
        <v>6.5</v>
      </c>
      <c r="K692" s="339">
        <f>5/12</f>
        <v>0.41666666666666669</v>
      </c>
      <c r="L692" s="311">
        <f>J692</f>
        <v>6.5</v>
      </c>
      <c r="M692" s="132"/>
    </row>
    <row r="693" spans="1:13">
      <c r="A693" s="63"/>
      <c r="B693" s="64"/>
      <c r="C693" s="65" t="s">
        <v>45</v>
      </c>
      <c r="D693" s="66">
        <f>SUM(D692)</f>
        <v>15000000</v>
      </c>
      <c r="E693" s="122">
        <f>SUM(E692:E692)</f>
        <v>0</v>
      </c>
      <c r="F693" s="66">
        <f>SUM(F692:F692)</f>
        <v>0</v>
      </c>
      <c r="G693" s="122">
        <f>G692</f>
        <v>975000</v>
      </c>
      <c r="H693" s="302">
        <f>G693/D693*100</f>
        <v>6.5</v>
      </c>
      <c r="I693" s="122">
        <f>I692</f>
        <v>975000</v>
      </c>
      <c r="J693" s="302">
        <f>I693/D693*100</f>
        <v>6.5</v>
      </c>
      <c r="K693" s="333">
        <f>SUM(K692:K692)</f>
        <v>0.41666666666666669</v>
      </c>
      <c r="L693" s="302">
        <f>SUM(L692:L692)</f>
        <v>6.5</v>
      </c>
      <c r="M693" s="66"/>
    </row>
    <row r="694" spans="1:13">
      <c r="A694" s="99">
        <v>15</v>
      </c>
      <c r="B694" s="100" t="s">
        <v>77</v>
      </c>
      <c r="C694" s="540"/>
      <c r="D694" s="70"/>
      <c r="E694" s="123"/>
      <c r="F694" s="134"/>
      <c r="G694" s="123"/>
      <c r="H694" s="156"/>
      <c r="I694" s="123"/>
      <c r="J694" s="144"/>
      <c r="K694" s="156"/>
      <c r="L694" s="156"/>
      <c r="M694" s="134"/>
    </row>
    <row r="695" spans="1:13">
      <c r="A695" s="84"/>
      <c r="B695" s="101" t="s">
        <v>78</v>
      </c>
      <c r="C695" s="48"/>
      <c r="D695" s="102"/>
      <c r="E695" s="119"/>
      <c r="F695" s="131"/>
      <c r="G695" s="119"/>
      <c r="H695" s="152"/>
      <c r="I695" s="119"/>
      <c r="J695" s="59"/>
      <c r="K695" s="152"/>
      <c r="L695" s="152"/>
      <c r="M695" s="131"/>
    </row>
    <row r="696" spans="1:13">
      <c r="A696" s="44"/>
      <c r="B696" s="47" t="s">
        <v>26</v>
      </c>
      <c r="C696" s="48" t="s">
        <v>79</v>
      </c>
      <c r="D696" s="60">
        <v>5000000</v>
      </c>
      <c r="E696" s="120">
        <v>0</v>
      </c>
      <c r="F696" s="132">
        <v>0</v>
      </c>
      <c r="G696" s="199" t="s">
        <v>132</v>
      </c>
      <c r="H696" s="59" t="s">
        <v>132</v>
      </c>
      <c r="I696" s="199" t="s">
        <v>132</v>
      </c>
      <c r="J696" s="59" t="s">
        <v>132</v>
      </c>
      <c r="K696" s="339">
        <f>5/12</f>
        <v>0.41666666666666669</v>
      </c>
      <c r="L696" s="59">
        <v>0</v>
      </c>
      <c r="M696" s="132"/>
    </row>
    <row r="697" spans="1:13">
      <c r="A697" s="89"/>
      <c r="B697" s="61" t="s">
        <v>80</v>
      </c>
      <c r="C697" s="103" t="s">
        <v>104</v>
      </c>
      <c r="D697" s="91">
        <v>15000000</v>
      </c>
      <c r="E697" s="127">
        <v>0</v>
      </c>
      <c r="F697" s="138">
        <v>0</v>
      </c>
      <c r="G697" s="197">
        <v>15000000</v>
      </c>
      <c r="H697" s="59">
        <f>G697/D697*100</f>
        <v>100</v>
      </c>
      <c r="I697" s="197">
        <f>G697</f>
        <v>15000000</v>
      </c>
      <c r="J697" s="301">
        <f>I697/D697*100</f>
        <v>100</v>
      </c>
      <c r="K697" s="355">
        <f>5/12</f>
        <v>0.41666666666666669</v>
      </c>
      <c r="L697" s="157">
        <v>0</v>
      </c>
      <c r="M697" s="136"/>
    </row>
    <row r="698" spans="1:13">
      <c r="A698" s="93"/>
      <c r="B698" s="83"/>
      <c r="C698" s="65" t="s">
        <v>45</v>
      </c>
      <c r="D698" s="66">
        <f>SUM(D696:D697)</f>
        <v>20000000</v>
      </c>
      <c r="E698" s="66">
        <f>SUM(E696:E697)</f>
        <v>0</v>
      </c>
      <c r="F698" s="66">
        <f t="shared" ref="F698" si="205">SUM(F696:F697)</f>
        <v>0</v>
      </c>
      <c r="G698" s="122">
        <f>SUM(G697)</f>
        <v>15000000</v>
      </c>
      <c r="H698" s="302">
        <f>G698/D698*100</f>
        <v>75</v>
      </c>
      <c r="I698" s="197">
        <f>SUM(I697)</f>
        <v>15000000</v>
      </c>
      <c r="J698" s="302">
        <f>I698/D698*100</f>
        <v>75</v>
      </c>
      <c r="K698" s="350">
        <f>5/12</f>
        <v>0.41666666666666669</v>
      </c>
      <c r="L698" s="66">
        <f t="shared" ref="L698" si="206">SUM(L696:L697)</f>
        <v>0</v>
      </c>
      <c r="M698" s="66"/>
    </row>
    <row r="699" spans="1:13">
      <c r="A699" s="84">
        <v>18</v>
      </c>
      <c r="B699" s="75" t="s">
        <v>82</v>
      </c>
      <c r="C699" s="76"/>
      <c r="D699" s="57"/>
      <c r="E699" s="119"/>
      <c r="F699" s="131"/>
      <c r="G699" s="119"/>
      <c r="H699" s="152"/>
      <c r="I699" s="119"/>
      <c r="J699" s="152"/>
      <c r="K699" s="152"/>
      <c r="L699" s="152"/>
      <c r="M699" s="131"/>
    </row>
    <row r="700" spans="1:13" ht="26.25">
      <c r="A700" s="84"/>
      <c r="B700" s="94" t="s">
        <v>29</v>
      </c>
      <c r="C700" s="48" t="s">
        <v>92</v>
      </c>
      <c r="D700" s="60">
        <v>7500000</v>
      </c>
      <c r="E700" s="120">
        <v>0</v>
      </c>
      <c r="F700" s="132">
        <v>0</v>
      </c>
      <c r="G700" s="199">
        <v>7500000</v>
      </c>
      <c r="H700" s="301">
        <f>G700/D700*100</f>
        <v>100</v>
      </c>
      <c r="I700" s="192">
        <f>G700</f>
        <v>7500000</v>
      </c>
      <c r="J700" s="301">
        <f t="shared" ref="J700" si="207">I700/D700*100</f>
        <v>100</v>
      </c>
      <c r="K700" s="339">
        <f>5/12</f>
        <v>0.41666666666666669</v>
      </c>
      <c r="L700" s="311">
        <f>J700</f>
        <v>100</v>
      </c>
      <c r="M700" s="131"/>
    </row>
    <row r="701" spans="1:13" ht="26.25">
      <c r="A701" s="84"/>
      <c r="B701" s="94" t="s">
        <v>83</v>
      </c>
      <c r="C701" s="48" t="s">
        <v>93</v>
      </c>
      <c r="D701" s="62">
        <v>10000000</v>
      </c>
      <c r="E701" s="121">
        <v>0</v>
      </c>
      <c r="F701" s="133">
        <v>0</v>
      </c>
      <c r="G701" s="200">
        <v>10000000</v>
      </c>
      <c r="H701" s="301">
        <f>G701/D701*100</f>
        <v>100</v>
      </c>
      <c r="I701" s="200">
        <f>G701</f>
        <v>10000000</v>
      </c>
      <c r="J701" s="301">
        <f>I701/D701*100</f>
        <v>100</v>
      </c>
      <c r="K701" s="355">
        <f>5/12</f>
        <v>0.41666666666666669</v>
      </c>
      <c r="L701" s="311">
        <f>J701</f>
        <v>100</v>
      </c>
      <c r="M701" s="131"/>
    </row>
    <row r="702" spans="1:13">
      <c r="A702" s="93"/>
      <c r="B702" s="64"/>
      <c r="C702" s="65" t="s">
        <v>45</v>
      </c>
      <c r="D702" s="66">
        <f>SUM(D700:D701)</f>
        <v>17500000</v>
      </c>
      <c r="E702" s="66">
        <f t="shared" ref="E702:F702" si="208">SUM(E700:E701)</f>
        <v>0</v>
      </c>
      <c r="F702" s="66">
        <f t="shared" si="208"/>
        <v>0</v>
      </c>
      <c r="G702" s="122">
        <f>SUM(G700:G701)</f>
        <v>17500000</v>
      </c>
      <c r="H702" s="302">
        <f>G702/D702*100</f>
        <v>100</v>
      </c>
      <c r="I702" s="122">
        <f t="shared" ref="I702" si="209">SUM(I700:I701)</f>
        <v>17500000</v>
      </c>
      <c r="J702" s="302">
        <f>I702/D702*100</f>
        <v>100</v>
      </c>
      <c r="K702" s="350">
        <f>5/12</f>
        <v>0.41666666666666669</v>
      </c>
      <c r="L702" s="302">
        <f>SUM(L701:L701)</f>
        <v>100</v>
      </c>
      <c r="M702" s="66"/>
    </row>
    <row r="703" spans="1:13">
      <c r="A703" s="99">
        <v>26</v>
      </c>
      <c r="B703" s="104" t="s">
        <v>105</v>
      </c>
      <c r="C703" s="105"/>
      <c r="D703" s="57"/>
      <c r="E703" s="119"/>
      <c r="F703" s="131"/>
      <c r="G703" s="119"/>
      <c r="H703" s="152"/>
      <c r="I703" s="119"/>
      <c r="J703" s="152"/>
      <c r="K703" s="152"/>
      <c r="L703" s="152"/>
      <c r="M703" s="131"/>
    </row>
    <row r="704" spans="1:13">
      <c r="A704" s="44"/>
      <c r="B704" s="47" t="s">
        <v>84</v>
      </c>
      <c r="C704" s="48" t="s">
        <v>106</v>
      </c>
      <c r="D704" s="60">
        <v>5000000</v>
      </c>
      <c r="E704" s="120" t="s">
        <v>132</v>
      </c>
      <c r="F704" s="132">
        <v>0</v>
      </c>
      <c r="G704" s="120" t="s">
        <v>132</v>
      </c>
      <c r="H704" s="59" t="s">
        <v>132</v>
      </c>
      <c r="I704" s="120">
        <v>0</v>
      </c>
      <c r="J704" s="59" t="s">
        <v>132</v>
      </c>
      <c r="K704" s="157">
        <v>0</v>
      </c>
      <c r="L704" s="59">
        <v>0</v>
      </c>
      <c r="M704" s="132"/>
    </row>
    <row r="705" spans="1:13">
      <c r="A705" s="63"/>
      <c r="B705" s="64"/>
      <c r="C705" s="65" t="s">
        <v>45</v>
      </c>
      <c r="D705" s="66">
        <f>SUM(D704)</f>
        <v>5000000</v>
      </c>
      <c r="E705" s="66">
        <v>0</v>
      </c>
      <c r="F705" s="66">
        <f t="shared" ref="F705" si="210">SUM(F702:F704)</f>
        <v>0</v>
      </c>
      <c r="G705" s="122" t="s">
        <v>132</v>
      </c>
      <c r="H705" s="66" t="s">
        <v>132</v>
      </c>
      <c r="I705" s="122" t="s">
        <v>132</v>
      </c>
      <c r="J705" s="66" t="s">
        <v>132</v>
      </c>
      <c r="K705" s="66">
        <f>SUM(K704)</f>
        <v>0</v>
      </c>
      <c r="L705" s="66">
        <v>0</v>
      </c>
      <c r="M705" s="66"/>
    </row>
    <row r="706" spans="1:13">
      <c r="A706" s="99">
        <v>16</v>
      </c>
      <c r="B706" s="104" t="s">
        <v>123</v>
      </c>
      <c r="C706" s="105"/>
      <c r="D706" s="57"/>
      <c r="E706" s="119"/>
      <c r="F706" s="131"/>
      <c r="G706" s="119"/>
      <c r="H706" s="152"/>
      <c r="I706" s="119"/>
      <c r="J706" s="152"/>
      <c r="K706" s="152"/>
      <c r="L706" s="152"/>
      <c r="M706" s="131"/>
    </row>
    <row r="707" spans="1:13">
      <c r="A707" s="84"/>
      <c r="B707" s="185" t="s">
        <v>124</v>
      </c>
      <c r="C707" s="186"/>
      <c r="D707" s="182"/>
      <c r="E707" s="124"/>
      <c r="F707" s="131"/>
      <c r="G707" s="131"/>
      <c r="H707" s="152"/>
      <c r="I707" s="131"/>
      <c r="J707" s="152"/>
      <c r="K707" s="152"/>
      <c r="L707" s="152"/>
      <c r="M707" s="152"/>
    </row>
    <row r="708" spans="1:13" ht="26.25">
      <c r="A708" s="44"/>
      <c r="B708" s="282" t="s">
        <v>46</v>
      </c>
      <c r="C708" s="50" t="s">
        <v>217</v>
      </c>
      <c r="D708" s="60">
        <v>27000000</v>
      </c>
      <c r="E708" s="125">
        <v>0</v>
      </c>
      <c r="F708" s="135">
        <v>0</v>
      </c>
      <c r="G708" s="124">
        <v>0</v>
      </c>
      <c r="H708" s="59" t="s">
        <v>132</v>
      </c>
      <c r="I708" s="124">
        <v>0</v>
      </c>
      <c r="J708" s="59" t="s">
        <v>132</v>
      </c>
      <c r="K708" s="59">
        <v>0</v>
      </c>
      <c r="L708" s="59">
        <v>0</v>
      </c>
      <c r="M708" s="59"/>
    </row>
    <row r="709" spans="1:13">
      <c r="A709" s="44"/>
      <c r="B709" s="163" t="s">
        <v>111</v>
      </c>
      <c r="C709" s="204" t="s">
        <v>81</v>
      </c>
      <c r="D709" s="205">
        <v>3000000</v>
      </c>
      <c r="E709" s="125">
        <v>0</v>
      </c>
      <c r="F709" s="135">
        <v>0</v>
      </c>
      <c r="G709" s="201" t="s">
        <v>132</v>
      </c>
      <c r="H709" s="187" t="s">
        <v>132</v>
      </c>
      <c r="I709" s="201" t="s">
        <v>132</v>
      </c>
      <c r="J709" s="187" t="s">
        <v>132</v>
      </c>
      <c r="K709" s="212">
        <v>0</v>
      </c>
      <c r="L709" s="187"/>
      <c r="M709" s="188"/>
    </row>
    <row r="710" spans="1:13">
      <c r="A710" s="63"/>
      <c r="B710" s="64"/>
      <c r="C710" s="65" t="s">
        <v>45</v>
      </c>
      <c r="D710" s="66">
        <f>SUM(D708:D709)</f>
        <v>30000000</v>
      </c>
      <c r="E710" s="66">
        <f>SUM(E708:E709)</f>
        <v>0</v>
      </c>
      <c r="F710" s="66">
        <f>SUM(F708:F709)</f>
        <v>0</v>
      </c>
      <c r="G710" s="122" t="s">
        <v>132</v>
      </c>
      <c r="H710" s="66" t="s">
        <v>132</v>
      </c>
      <c r="I710" s="122">
        <f>SUM(I708:I709)</f>
        <v>0</v>
      </c>
      <c r="J710" s="66" t="s">
        <v>132</v>
      </c>
      <c r="K710" s="66">
        <f>SUM(K708:K709)</f>
        <v>0</v>
      </c>
      <c r="L710" s="66">
        <f>SUM(L708:L709)</f>
        <v>0</v>
      </c>
      <c r="M710" s="66"/>
    </row>
    <row r="711" spans="1:13">
      <c r="A711" s="99">
        <v>17</v>
      </c>
      <c r="B711" s="104" t="s">
        <v>127</v>
      </c>
      <c r="C711" s="105"/>
      <c r="D711" s="57"/>
      <c r="E711" s="119"/>
      <c r="F711" s="131"/>
      <c r="G711" s="119"/>
      <c r="H711" s="152"/>
      <c r="I711" s="119"/>
      <c r="J711" s="152"/>
      <c r="K711" s="152"/>
      <c r="L711" s="152"/>
      <c r="M711" s="131"/>
    </row>
    <row r="712" spans="1:13" ht="26.25">
      <c r="A712" s="44"/>
      <c r="B712" s="47" t="s">
        <v>84</v>
      </c>
      <c r="C712" s="48" t="s">
        <v>128</v>
      </c>
      <c r="D712" s="60">
        <v>10000000</v>
      </c>
      <c r="E712" s="120">
        <v>0</v>
      </c>
      <c r="F712" s="132">
        <v>0</v>
      </c>
      <c r="G712" s="120" t="s">
        <v>132</v>
      </c>
      <c r="H712" s="59" t="s">
        <v>132</v>
      </c>
      <c r="I712" s="120">
        <v>0</v>
      </c>
      <c r="J712" s="59" t="s">
        <v>132</v>
      </c>
      <c r="K712" s="157">
        <v>0</v>
      </c>
      <c r="L712" s="59">
        <v>0</v>
      </c>
      <c r="M712" s="132"/>
    </row>
    <row r="713" spans="1:13">
      <c r="A713" s="63"/>
      <c r="B713" s="64"/>
      <c r="C713" s="65" t="s">
        <v>45</v>
      </c>
      <c r="D713" s="66">
        <f>SUM(D712)</f>
        <v>10000000</v>
      </c>
      <c r="E713" s="66">
        <f t="shared" ref="E713:F713" si="211">SUM(E710:E712)</f>
        <v>0</v>
      </c>
      <c r="F713" s="66">
        <f t="shared" si="211"/>
        <v>0</v>
      </c>
      <c r="G713" s="122" t="s">
        <v>132</v>
      </c>
      <c r="H713" s="66" t="s">
        <v>132</v>
      </c>
      <c r="I713" s="122" t="s">
        <v>132</v>
      </c>
      <c r="J713" s="66" t="s">
        <v>132</v>
      </c>
      <c r="K713" s="66">
        <f>SUM(K712)</f>
        <v>0</v>
      </c>
      <c r="L713" s="66">
        <v>0</v>
      </c>
      <c r="M713" s="66"/>
    </row>
    <row r="714" spans="1:13">
      <c r="A714" s="44">
        <v>18</v>
      </c>
      <c r="B714" s="104" t="s">
        <v>218</v>
      </c>
      <c r="C714" s="105"/>
      <c r="D714" s="70"/>
      <c r="E714" s="70"/>
      <c r="F714" s="70"/>
      <c r="G714" s="287"/>
      <c r="H714" s="70"/>
      <c r="I714" s="287"/>
      <c r="J714" s="70"/>
      <c r="K714" s="70"/>
      <c r="L714" s="70"/>
      <c r="M714" s="70"/>
    </row>
    <row r="715" spans="1:13" ht="25.5">
      <c r="A715" s="44"/>
      <c r="B715" s="283" t="s">
        <v>83</v>
      </c>
      <c r="C715" s="284" t="s">
        <v>219</v>
      </c>
      <c r="D715" s="288">
        <v>50000000</v>
      </c>
      <c r="E715" s="285">
        <v>0</v>
      </c>
      <c r="F715" s="285">
        <v>0</v>
      </c>
      <c r="G715" s="286">
        <v>0</v>
      </c>
      <c r="H715" s="285">
        <v>0</v>
      </c>
      <c r="I715" s="286">
        <v>0</v>
      </c>
      <c r="J715" s="285">
        <v>0</v>
      </c>
      <c r="K715" s="157">
        <v>0</v>
      </c>
      <c r="L715" s="285">
        <v>0</v>
      </c>
      <c r="M715" s="285"/>
    </row>
    <row r="716" spans="1:13">
      <c r="A716" s="63"/>
      <c r="B716" s="64"/>
      <c r="C716" s="65" t="s">
        <v>45</v>
      </c>
      <c r="D716" s="66">
        <f>SUM(D715)</f>
        <v>50000000</v>
      </c>
      <c r="E716" s="66">
        <v>0</v>
      </c>
      <c r="F716" s="66">
        <v>0</v>
      </c>
      <c r="G716" s="122">
        <v>0</v>
      </c>
      <c r="H716" s="66">
        <v>0</v>
      </c>
      <c r="I716" s="122">
        <v>0</v>
      </c>
      <c r="J716" s="66">
        <v>0</v>
      </c>
      <c r="K716" s="66">
        <f>SUM(K715)</f>
        <v>0</v>
      </c>
      <c r="L716" s="66">
        <v>0</v>
      </c>
      <c r="M716" s="66"/>
    </row>
    <row r="717" spans="1:13">
      <c r="A717" s="44">
        <v>24</v>
      </c>
      <c r="B717" s="104" t="s">
        <v>221</v>
      </c>
      <c r="C717" s="105"/>
      <c r="D717" s="70"/>
      <c r="E717" s="70"/>
      <c r="F717" s="70"/>
      <c r="G717" s="287"/>
      <c r="H717" s="70"/>
      <c r="I717" s="287"/>
      <c r="J717" s="70"/>
      <c r="K717" s="70"/>
      <c r="L717" s="70"/>
      <c r="M717" s="70"/>
    </row>
    <row r="718" spans="1:13">
      <c r="A718" s="44"/>
      <c r="B718" s="283" t="s">
        <v>83</v>
      </c>
      <c r="C718" s="284" t="s">
        <v>222</v>
      </c>
      <c r="D718" s="288">
        <v>50000000</v>
      </c>
      <c r="E718" s="285">
        <v>0</v>
      </c>
      <c r="F718" s="285">
        <v>0</v>
      </c>
      <c r="G718" s="286">
        <v>0</v>
      </c>
      <c r="H718" s="285">
        <v>0</v>
      </c>
      <c r="I718" s="286">
        <v>0</v>
      </c>
      <c r="J718" s="285">
        <v>0</v>
      </c>
      <c r="K718" s="157">
        <v>0</v>
      </c>
      <c r="L718" s="285">
        <v>0</v>
      </c>
      <c r="M718" s="285"/>
    </row>
    <row r="719" spans="1:13">
      <c r="A719" s="63"/>
      <c r="B719" s="64"/>
      <c r="C719" s="65" t="s">
        <v>45</v>
      </c>
      <c r="D719" s="66">
        <f>SUM(D718)</f>
        <v>50000000</v>
      </c>
      <c r="E719" s="66">
        <v>0</v>
      </c>
      <c r="F719" s="66">
        <v>0</v>
      </c>
      <c r="G719" s="122">
        <v>0</v>
      </c>
      <c r="H719" s="66">
        <v>0</v>
      </c>
      <c r="I719" s="122">
        <v>0</v>
      </c>
      <c r="J719" s="66">
        <v>0</v>
      </c>
      <c r="K719" s="66">
        <f>SUM(K718)</f>
        <v>0</v>
      </c>
      <c r="L719" s="66">
        <v>0</v>
      </c>
      <c r="M719" s="66"/>
    </row>
    <row r="720" spans="1:13" ht="15.75" thickBot="1">
      <c r="A720" s="166"/>
      <c r="B720" s="167" t="s">
        <v>85</v>
      </c>
      <c r="C720" s="106"/>
      <c r="D720" s="107">
        <f>D614+D611</f>
        <v>3251325000</v>
      </c>
      <c r="E720" s="107">
        <f>E614+E611</f>
        <v>0</v>
      </c>
      <c r="F720" s="107">
        <f>F614+F611</f>
        <v>0</v>
      </c>
      <c r="G720" s="107">
        <f>G611+G614</f>
        <v>1151968192</v>
      </c>
      <c r="H720" s="213">
        <f>G720/D720*100</f>
        <v>35.430730302261388</v>
      </c>
      <c r="I720" s="107">
        <f>I614+I611</f>
        <v>1151968192</v>
      </c>
      <c r="J720" s="213">
        <f>I720/D720*100</f>
        <v>35.430730302261388</v>
      </c>
      <c r="K720" s="425">
        <f>5/12</f>
        <v>0.41666666666666669</v>
      </c>
      <c r="L720" s="213">
        <f>J720</f>
        <v>35.430730302261388</v>
      </c>
      <c r="M720" s="158"/>
    </row>
    <row r="721" spans="1:13" ht="15.75" thickTop="1">
      <c r="A721" s="342"/>
      <c r="B721" s="343"/>
      <c r="C721" s="344"/>
      <c r="D721" s="345"/>
      <c r="E721" s="345"/>
      <c r="F721" s="345"/>
      <c r="G721" s="345"/>
      <c r="H721" s="346"/>
      <c r="I721" s="345"/>
      <c r="J721" s="346"/>
      <c r="K721" s="347"/>
      <c r="L721" s="346"/>
      <c r="M721" s="348"/>
    </row>
    <row r="722" spans="1:13">
      <c r="A722" s="168"/>
      <c r="B722" s="169"/>
      <c r="C722" s="170"/>
      <c r="D722" s="171"/>
      <c r="E722" s="108"/>
      <c r="H722" s="128"/>
      <c r="I722" s="159" t="s">
        <v>486</v>
      </c>
      <c r="J722" s="128"/>
      <c r="L722" s="128"/>
      <c r="M722" s="128"/>
    </row>
    <row r="723" spans="1:13">
      <c r="A723" s="172"/>
      <c r="B723" s="169"/>
      <c r="C723" s="173"/>
      <c r="D723" s="171"/>
      <c r="E723" s="174"/>
      <c r="H723" s="128"/>
      <c r="I723" s="159" t="s">
        <v>86</v>
      </c>
      <c r="J723" s="128"/>
      <c r="L723" s="128"/>
      <c r="M723" s="128"/>
    </row>
    <row r="724" spans="1:13">
      <c r="A724" s="172"/>
      <c r="B724" s="169"/>
      <c r="C724" s="173"/>
      <c r="D724" s="171"/>
      <c r="E724" s="174"/>
      <c r="H724" s="128"/>
      <c r="I724" s="159"/>
      <c r="J724" s="128"/>
      <c r="L724" s="128"/>
      <c r="M724" s="128"/>
    </row>
    <row r="725" spans="1:13">
      <c r="A725" s="172"/>
      <c r="B725" s="169"/>
      <c r="C725" s="173"/>
      <c r="D725" s="171"/>
      <c r="E725" s="108"/>
      <c r="H725" s="128"/>
      <c r="I725" s="159"/>
      <c r="J725" s="128"/>
      <c r="L725" s="128"/>
      <c r="M725" s="128"/>
    </row>
    <row r="726" spans="1:13">
      <c r="A726" s="175"/>
      <c r="B726" s="176"/>
      <c r="C726" s="177"/>
      <c r="D726" s="171"/>
      <c r="E726" s="108"/>
      <c r="G726" s="128" t="s">
        <v>227</v>
      </c>
      <c r="H726" s="128"/>
      <c r="I726" s="160" t="s">
        <v>120</v>
      </c>
      <c r="J726" s="128"/>
      <c r="L726" s="128"/>
      <c r="M726" s="128"/>
    </row>
    <row r="727" spans="1:13">
      <c r="A727" s="175"/>
      <c r="B727" s="176"/>
      <c r="C727" s="177"/>
      <c r="D727" s="175"/>
      <c r="E727" s="108"/>
      <c r="H727" s="128"/>
      <c r="I727" s="159" t="s">
        <v>108</v>
      </c>
      <c r="J727" s="128"/>
      <c r="L727" s="128"/>
      <c r="M727" s="128"/>
    </row>
    <row r="728" spans="1:13">
      <c r="A728" s="175"/>
      <c r="B728" s="176"/>
      <c r="C728" s="177"/>
      <c r="D728" s="175"/>
      <c r="E728" s="108"/>
      <c r="H728" s="128"/>
      <c r="I728" s="159" t="s">
        <v>121</v>
      </c>
      <c r="J728" s="128"/>
      <c r="L728" s="128"/>
      <c r="M728" s="128"/>
    </row>
    <row r="760" spans="1:13" ht="15.75">
      <c r="A760" s="832" t="s">
        <v>223</v>
      </c>
      <c r="B760" s="832"/>
      <c r="C760" s="832"/>
      <c r="D760" s="832"/>
      <c r="E760" s="832"/>
      <c r="F760" s="832"/>
      <c r="G760" s="832"/>
      <c r="H760" s="832"/>
      <c r="I760" s="832"/>
      <c r="J760" s="832"/>
      <c r="K760" s="832"/>
      <c r="L760" s="832"/>
      <c r="M760" s="832"/>
    </row>
    <row r="761" spans="1:13" ht="15.75">
      <c r="A761" s="832" t="s">
        <v>224</v>
      </c>
      <c r="B761" s="832"/>
      <c r="C761" s="832"/>
      <c r="D761" s="832"/>
      <c r="E761" s="832"/>
      <c r="F761" s="832"/>
      <c r="G761" s="832"/>
      <c r="H761" s="832"/>
      <c r="I761" s="832"/>
      <c r="J761" s="832"/>
      <c r="K761" s="832"/>
      <c r="L761" s="832"/>
      <c r="M761" s="832"/>
    </row>
    <row r="762" spans="1:13" ht="15.75">
      <c r="A762" s="541"/>
      <c r="B762" s="541"/>
      <c r="C762" s="541"/>
      <c r="D762" s="541"/>
      <c r="E762" s="541"/>
      <c r="F762" s="541"/>
      <c r="G762" s="303"/>
      <c r="H762" s="541"/>
      <c r="I762" s="541"/>
      <c r="J762" s="541"/>
      <c r="K762" s="303"/>
      <c r="L762" s="541"/>
      <c r="M762" s="541"/>
    </row>
    <row r="763" spans="1:13" ht="16.5">
      <c r="A763" s="1" t="s">
        <v>213</v>
      </c>
      <c r="B763" s="2"/>
      <c r="C763" s="3" t="s">
        <v>2</v>
      </c>
      <c r="E763" s="108"/>
      <c r="G763" s="304"/>
      <c r="H763" s="4"/>
      <c r="I763" s="5"/>
      <c r="J763" s="4"/>
      <c r="M763" s="4"/>
    </row>
    <row r="764" spans="1:13" ht="17.25" thickBot="1">
      <c r="A764" s="14" t="s">
        <v>225</v>
      </c>
      <c r="B764" s="14"/>
      <c r="C764" s="292" t="s">
        <v>487</v>
      </c>
      <c r="D764" s="129"/>
      <c r="E764" s="109"/>
      <c r="F764" s="129"/>
      <c r="G764" s="305"/>
      <c r="H764" s="14"/>
      <c r="I764" s="16"/>
      <c r="J764" s="14"/>
      <c r="K764" s="129"/>
      <c r="L764" s="15"/>
      <c r="M764" s="14"/>
    </row>
    <row r="765" spans="1:13" ht="15.75" thickTop="1">
      <c r="A765" s="833" t="s">
        <v>3</v>
      </c>
      <c r="B765" s="836" t="s">
        <v>4</v>
      </c>
      <c r="C765" s="837"/>
      <c r="D765" s="289" t="s">
        <v>5</v>
      </c>
      <c r="E765" s="110" t="s">
        <v>6</v>
      </c>
      <c r="F765" s="130"/>
      <c r="G765" s="842" t="s">
        <v>7</v>
      </c>
      <c r="H765" s="843"/>
      <c r="I765" s="843"/>
      <c r="J765" s="843"/>
      <c r="K765" s="844" t="s">
        <v>8</v>
      </c>
      <c r="L765" s="844"/>
      <c r="M765" s="833" t="s">
        <v>9</v>
      </c>
    </row>
    <row r="766" spans="1:13">
      <c r="A766" s="834"/>
      <c r="B766" s="838"/>
      <c r="C766" s="839"/>
      <c r="D766" s="290" t="s">
        <v>10</v>
      </c>
      <c r="E766" s="111" t="s">
        <v>11</v>
      </c>
      <c r="F766" s="111" t="s">
        <v>12</v>
      </c>
      <c r="G766" s="111" t="s">
        <v>13</v>
      </c>
      <c r="H766" s="845" t="s">
        <v>14</v>
      </c>
      <c r="I766" s="6" t="s">
        <v>15</v>
      </c>
      <c r="J766" s="846" t="s">
        <v>14</v>
      </c>
      <c r="K766" s="321" t="s">
        <v>16</v>
      </c>
      <c r="L766" s="7" t="s">
        <v>17</v>
      </c>
      <c r="M766" s="834"/>
    </row>
    <row r="767" spans="1:13">
      <c r="A767" s="835"/>
      <c r="B767" s="840"/>
      <c r="C767" s="841"/>
      <c r="D767" s="291" t="s">
        <v>18</v>
      </c>
      <c r="E767" s="112" t="s">
        <v>18</v>
      </c>
      <c r="F767" s="112"/>
      <c r="G767" s="306" t="s">
        <v>19</v>
      </c>
      <c r="H767" s="835"/>
      <c r="I767" s="8" t="s">
        <v>19</v>
      </c>
      <c r="J767" s="847"/>
      <c r="K767" s="322" t="s">
        <v>233</v>
      </c>
      <c r="L767" s="9" t="s">
        <v>233</v>
      </c>
      <c r="M767" s="835"/>
    </row>
    <row r="768" spans="1:13" ht="15.75" thickBot="1">
      <c r="A768" s="17">
        <v>1</v>
      </c>
      <c r="B768" s="828">
        <v>2</v>
      </c>
      <c r="C768" s="829"/>
      <c r="D768" s="113">
        <v>3</v>
      </c>
      <c r="E768" s="113">
        <v>4</v>
      </c>
      <c r="F768" s="113">
        <v>5</v>
      </c>
      <c r="G768" s="113">
        <v>6</v>
      </c>
      <c r="H768" s="18">
        <v>7</v>
      </c>
      <c r="I768" s="18">
        <v>8</v>
      </c>
      <c r="J768" s="18">
        <v>9</v>
      </c>
      <c r="K768" s="113">
        <v>10</v>
      </c>
      <c r="L768" s="18">
        <v>11</v>
      </c>
      <c r="M768" s="18">
        <v>12</v>
      </c>
    </row>
    <row r="769" spans="1:13" ht="15.75" thickBot="1">
      <c r="A769" s="35" t="s">
        <v>20</v>
      </c>
      <c r="B769" s="36" t="s">
        <v>21</v>
      </c>
      <c r="C769" s="37"/>
      <c r="D769" s="30">
        <f>D770+D771</f>
        <v>2257113000</v>
      </c>
      <c r="E769" s="30">
        <f>E770</f>
        <v>0</v>
      </c>
      <c r="F769" s="30">
        <v>0</v>
      </c>
      <c r="G769" s="30">
        <f>G770+G771</f>
        <v>894675763</v>
      </c>
      <c r="H769" s="214">
        <f>G769/D769*100</f>
        <v>39.638058130009441</v>
      </c>
      <c r="I769" s="30">
        <f>G769</f>
        <v>894675763</v>
      </c>
      <c r="J769" s="217">
        <f>I769/D769*100</f>
        <v>39.638058130009441</v>
      </c>
      <c r="K769" s="332">
        <f>5/12</f>
        <v>0.41666666666666669</v>
      </c>
      <c r="L769" s="215">
        <f>J769</f>
        <v>39.638058130009441</v>
      </c>
      <c r="M769" s="53"/>
    </row>
    <row r="770" spans="1:13" ht="15.75" thickBot="1">
      <c r="A770" s="38" t="s">
        <v>22</v>
      </c>
      <c r="B770" s="39" t="s">
        <v>23</v>
      </c>
      <c r="C770" s="40"/>
      <c r="D770" s="31">
        <v>1872153000</v>
      </c>
      <c r="E770" s="114">
        <v>0</v>
      </c>
      <c r="F770" s="30">
        <v>0</v>
      </c>
      <c r="G770" s="30">
        <v>791925763</v>
      </c>
      <c r="H770" s="214">
        <f>G770/D770*100</f>
        <v>42.300269422424343</v>
      </c>
      <c r="I770" s="296">
        <f>G770</f>
        <v>791925763</v>
      </c>
      <c r="J770" s="217">
        <f>I770/D770*100</f>
        <v>42.300269422424343</v>
      </c>
      <c r="K770" s="332">
        <f t="shared" ref="K770:K772" si="212">5/12</f>
        <v>0.41666666666666669</v>
      </c>
      <c r="L770" s="215">
        <f>J770</f>
        <v>42.300269422424343</v>
      </c>
      <c r="M770" s="146"/>
    </row>
    <row r="771" spans="1:13" ht="15.75" thickBot="1">
      <c r="A771" s="139"/>
      <c r="B771" s="140" t="s">
        <v>107</v>
      </c>
      <c r="C771" s="141"/>
      <c r="D771" s="31">
        <v>384960000</v>
      </c>
      <c r="E771" s="114">
        <v>0</v>
      </c>
      <c r="F771" s="30">
        <v>0</v>
      </c>
      <c r="G771" s="351">
        <v>102750000</v>
      </c>
      <c r="H771" s="214">
        <f>G771/D771*100</f>
        <v>26.691084788029922</v>
      </c>
      <c r="I771" s="296">
        <f>G771</f>
        <v>102750000</v>
      </c>
      <c r="J771" s="217">
        <f>I771/D771*100</f>
        <v>26.691084788029922</v>
      </c>
      <c r="K771" s="332">
        <f t="shared" si="212"/>
        <v>0.41666666666666669</v>
      </c>
      <c r="L771" s="215">
        <f>J771</f>
        <v>26.691084788029922</v>
      </c>
      <c r="M771" s="149"/>
    </row>
    <row r="772" spans="1:13" ht="15.75" thickBot="1">
      <c r="A772" s="35" t="s">
        <v>24</v>
      </c>
      <c r="B772" s="36" t="s">
        <v>25</v>
      </c>
      <c r="C772" s="37"/>
      <c r="D772" s="30">
        <f>D789+D799+D802+D806+D809+D812+D818+D821+D825+D828+D832+D835+D838+D841+D845+D848+D851+D856+D860+D863+D868+D871+D874+D877</f>
        <v>994212000</v>
      </c>
      <c r="E772" s="30">
        <v>0</v>
      </c>
      <c r="F772" s="30">
        <v>0</v>
      </c>
      <c r="G772" s="30">
        <f>G789+G799+G828+G832+G848+G851+G838+G841+G845+G860+G812+G825+G856+G809</f>
        <v>464225698</v>
      </c>
      <c r="H772" s="215">
        <f>G772/D772*100</f>
        <v>46.692827887814673</v>
      </c>
      <c r="I772" s="296">
        <f>G772</f>
        <v>464225698</v>
      </c>
      <c r="J772" s="217">
        <f>I772/D772*100</f>
        <v>46.692827887814673</v>
      </c>
      <c r="K772" s="332">
        <f t="shared" si="212"/>
        <v>0.41666666666666669</v>
      </c>
      <c r="L772" s="215">
        <f>J772</f>
        <v>46.692827887814673</v>
      </c>
      <c r="M772" s="30"/>
    </row>
    <row r="773" spans="1:13">
      <c r="A773" s="41" t="s">
        <v>26</v>
      </c>
      <c r="B773" s="42" t="s">
        <v>27</v>
      </c>
      <c r="C773" s="43"/>
      <c r="D773" s="32"/>
      <c r="E773" s="115"/>
      <c r="F773" s="32"/>
      <c r="G773" s="150"/>
      <c r="H773" s="151"/>
      <c r="I773" s="191"/>
      <c r="J773" s="150"/>
      <c r="K773" s="32"/>
      <c r="L773" s="32"/>
      <c r="M773" s="32"/>
    </row>
    <row r="774" spans="1:13">
      <c r="A774" s="44"/>
      <c r="B774" s="45" t="s">
        <v>26</v>
      </c>
      <c r="C774" s="46" t="s">
        <v>28</v>
      </c>
      <c r="D774" s="525">
        <v>6000000</v>
      </c>
      <c r="E774" s="116">
        <v>0</v>
      </c>
      <c r="F774" s="131">
        <v>0</v>
      </c>
      <c r="G774" s="192">
        <f>999000+501000+250000</f>
        <v>1750000</v>
      </c>
      <c r="H774" s="299">
        <f>G774/D774*100</f>
        <v>29.166666666666668</v>
      </c>
      <c r="I774" s="192">
        <f>G774</f>
        <v>1750000</v>
      </c>
      <c r="J774" s="301">
        <f>H774</f>
        <v>29.166666666666668</v>
      </c>
      <c r="K774" s="331">
        <f>5/12</f>
        <v>0.41666666666666669</v>
      </c>
      <c r="L774" s="311">
        <f>J774</f>
        <v>29.166666666666668</v>
      </c>
      <c r="M774" s="131"/>
    </row>
    <row r="775" spans="1:13">
      <c r="A775" s="44"/>
      <c r="B775" s="47" t="s">
        <v>29</v>
      </c>
      <c r="C775" s="48" t="s">
        <v>30</v>
      </c>
      <c r="D775" s="34">
        <v>8000000</v>
      </c>
      <c r="E775" s="297">
        <v>0</v>
      </c>
      <c r="F775" s="132">
        <v>0</v>
      </c>
      <c r="G775" s="192">
        <v>1310678</v>
      </c>
      <c r="H775" s="299">
        <f t="shared" ref="H775:H788" si="213">G775/D775*100</f>
        <v>16.383475000000001</v>
      </c>
      <c r="I775" s="192">
        <f>G775</f>
        <v>1310678</v>
      </c>
      <c r="J775" s="301">
        <f>I775/D775*100</f>
        <v>16.383475000000001</v>
      </c>
      <c r="K775" s="331">
        <f t="shared" ref="K775:K788" si="214">5/12</f>
        <v>0.41666666666666669</v>
      </c>
      <c r="L775" s="311">
        <f t="shared" ref="L775:L788" si="215">J775</f>
        <v>16.383475000000001</v>
      </c>
      <c r="M775" s="132"/>
    </row>
    <row r="776" spans="1:13">
      <c r="A776" s="44"/>
      <c r="B776" s="47" t="s">
        <v>29</v>
      </c>
      <c r="C776" s="48" t="s">
        <v>31</v>
      </c>
      <c r="D776" s="34">
        <v>5000000</v>
      </c>
      <c r="E776" s="297">
        <v>0</v>
      </c>
      <c r="F776" s="132">
        <v>0</v>
      </c>
      <c r="G776" s="192">
        <v>1618600</v>
      </c>
      <c r="H776" s="299">
        <f t="shared" si="213"/>
        <v>32.372</v>
      </c>
      <c r="I776" s="192">
        <f t="shared" ref="I776:I777" si="216">G776</f>
        <v>1618600</v>
      </c>
      <c r="J776" s="301">
        <f t="shared" ref="J776:J785" si="217">I776/D776*100</f>
        <v>32.372</v>
      </c>
      <c r="K776" s="331">
        <f t="shared" si="214"/>
        <v>0.41666666666666669</v>
      </c>
      <c r="L776" s="311">
        <f t="shared" si="215"/>
        <v>32.372</v>
      </c>
      <c r="M776" s="132"/>
    </row>
    <row r="777" spans="1:13">
      <c r="A777" s="44"/>
      <c r="B777" s="47" t="s">
        <v>29</v>
      </c>
      <c r="C777" s="48" t="s">
        <v>32</v>
      </c>
      <c r="D777" s="34">
        <v>12000000</v>
      </c>
      <c r="E777" s="297">
        <v>0</v>
      </c>
      <c r="F777" s="132">
        <v>0</v>
      </c>
      <c r="G777" s="192">
        <v>3204120</v>
      </c>
      <c r="H777" s="299">
        <f t="shared" si="213"/>
        <v>26.701000000000004</v>
      </c>
      <c r="I777" s="192">
        <f t="shared" si="216"/>
        <v>3204120</v>
      </c>
      <c r="J777" s="301">
        <f t="shared" si="217"/>
        <v>26.701000000000004</v>
      </c>
      <c r="K777" s="331">
        <f t="shared" si="214"/>
        <v>0.41666666666666669</v>
      </c>
      <c r="L777" s="311">
        <f t="shared" si="215"/>
        <v>26.701000000000004</v>
      </c>
      <c r="M777" s="132"/>
    </row>
    <row r="778" spans="1:13">
      <c r="A778" s="44"/>
      <c r="B778" s="47" t="s">
        <v>33</v>
      </c>
      <c r="C778" s="48" t="s">
        <v>34</v>
      </c>
      <c r="D778" s="34">
        <v>12105000</v>
      </c>
      <c r="E778" s="117">
        <v>0</v>
      </c>
      <c r="F778" s="132">
        <v>0</v>
      </c>
      <c r="G778" s="192">
        <v>4000000</v>
      </c>
      <c r="H778" s="299">
        <f t="shared" si="213"/>
        <v>33.044196612969841</v>
      </c>
      <c r="I778" s="192">
        <f>G778</f>
        <v>4000000</v>
      </c>
      <c r="J778" s="301">
        <f t="shared" si="217"/>
        <v>33.044196612969841</v>
      </c>
      <c r="K778" s="331">
        <f t="shared" si="214"/>
        <v>0.41666666666666669</v>
      </c>
      <c r="L778" s="311">
        <f t="shared" si="215"/>
        <v>33.044196612969841</v>
      </c>
      <c r="M778" s="132"/>
    </row>
    <row r="779" spans="1:13">
      <c r="A779" s="44"/>
      <c r="B779" s="47">
        <v>10</v>
      </c>
      <c r="C779" s="48" t="s">
        <v>35</v>
      </c>
      <c r="D779" s="34">
        <v>11895000</v>
      </c>
      <c r="E779" s="117">
        <v>0</v>
      </c>
      <c r="F779" s="132">
        <v>0</v>
      </c>
      <c r="G779" s="192">
        <f>1500000+1000000+1000000</f>
        <v>3500000</v>
      </c>
      <c r="H779" s="299">
        <f t="shared" si="213"/>
        <v>29.424127784783522</v>
      </c>
      <c r="I779" s="192">
        <f t="shared" ref="I779:I782" si="218">G779</f>
        <v>3500000</v>
      </c>
      <c r="J779" s="301">
        <f t="shared" si="217"/>
        <v>29.424127784783522</v>
      </c>
      <c r="K779" s="331">
        <f t="shared" si="214"/>
        <v>0.41666666666666669</v>
      </c>
      <c r="L779" s="311">
        <f t="shared" si="215"/>
        <v>29.424127784783522</v>
      </c>
      <c r="M779" s="132"/>
    </row>
    <row r="780" spans="1:13">
      <c r="A780" s="44"/>
      <c r="B780" s="47">
        <v>11</v>
      </c>
      <c r="C780" s="48" t="s">
        <v>36</v>
      </c>
      <c r="D780" s="34">
        <v>6000000</v>
      </c>
      <c r="E780" s="117">
        <v>0</v>
      </c>
      <c r="F780" s="132">
        <v>0</v>
      </c>
      <c r="G780" s="192">
        <f>1000000+500000+750000</f>
        <v>2250000</v>
      </c>
      <c r="H780" s="299">
        <f t="shared" si="213"/>
        <v>37.5</v>
      </c>
      <c r="I780" s="192">
        <f t="shared" si="218"/>
        <v>2250000</v>
      </c>
      <c r="J780" s="301">
        <f t="shared" si="217"/>
        <v>37.5</v>
      </c>
      <c r="K780" s="331">
        <f t="shared" si="214"/>
        <v>0.41666666666666669</v>
      </c>
      <c r="L780" s="311">
        <f t="shared" si="215"/>
        <v>37.5</v>
      </c>
      <c r="M780" s="132"/>
    </row>
    <row r="781" spans="1:13">
      <c r="A781" s="44"/>
      <c r="B781" s="47">
        <v>11</v>
      </c>
      <c r="C781" s="48" t="s">
        <v>37</v>
      </c>
      <c r="D781" s="34">
        <v>18000000</v>
      </c>
      <c r="E781" s="117">
        <v>0</v>
      </c>
      <c r="F781" s="132">
        <v>0</v>
      </c>
      <c r="G781" s="192">
        <f>2525600+17850+34600+34000</f>
        <v>2612050</v>
      </c>
      <c r="H781" s="299">
        <f t="shared" si="213"/>
        <v>14.511388888888888</v>
      </c>
      <c r="I781" s="192">
        <f t="shared" si="218"/>
        <v>2612050</v>
      </c>
      <c r="J781" s="301">
        <f t="shared" si="217"/>
        <v>14.511388888888888</v>
      </c>
      <c r="K781" s="331">
        <f t="shared" si="214"/>
        <v>0.41666666666666669</v>
      </c>
      <c r="L781" s="311">
        <f t="shared" si="215"/>
        <v>14.511388888888888</v>
      </c>
      <c r="M781" s="132"/>
    </row>
    <row r="782" spans="1:13">
      <c r="A782" s="44"/>
      <c r="B782" s="47">
        <v>12</v>
      </c>
      <c r="C782" s="48" t="s">
        <v>38</v>
      </c>
      <c r="D782" s="34">
        <v>5000000</v>
      </c>
      <c r="E782" s="117">
        <v>0</v>
      </c>
      <c r="F782" s="132">
        <v>0</v>
      </c>
      <c r="G782" s="192">
        <v>1750000</v>
      </c>
      <c r="H782" s="299">
        <f t="shared" si="213"/>
        <v>35</v>
      </c>
      <c r="I782" s="192">
        <f t="shared" si="218"/>
        <v>1750000</v>
      </c>
      <c r="J782" s="301">
        <f t="shared" si="217"/>
        <v>35</v>
      </c>
      <c r="K782" s="331">
        <f t="shared" si="214"/>
        <v>0.41666666666666669</v>
      </c>
      <c r="L782" s="311">
        <f t="shared" si="215"/>
        <v>35</v>
      </c>
      <c r="M782" s="132"/>
    </row>
    <row r="783" spans="1:13">
      <c r="A783" s="44"/>
      <c r="B783" s="47">
        <v>13</v>
      </c>
      <c r="C783" s="48" t="s">
        <v>39</v>
      </c>
      <c r="D783" s="34">
        <v>5000000</v>
      </c>
      <c r="E783" s="117">
        <v>0</v>
      </c>
      <c r="F783" s="132">
        <v>0</v>
      </c>
      <c r="G783" s="192">
        <f>1000000+250000+500000</f>
        <v>1750000</v>
      </c>
      <c r="H783" s="299">
        <f t="shared" si="213"/>
        <v>35</v>
      </c>
      <c r="I783" s="192">
        <f>G783</f>
        <v>1750000</v>
      </c>
      <c r="J783" s="301">
        <f t="shared" si="217"/>
        <v>35</v>
      </c>
      <c r="K783" s="331">
        <f t="shared" si="214"/>
        <v>0.41666666666666669</v>
      </c>
      <c r="L783" s="311">
        <f t="shared" si="215"/>
        <v>35</v>
      </c>
      <c r="M783" s="132"/>
    </row>
    <row r="784" spans="1:13">
      <c r="A784" s="44"/>
      <c r="B784" s="47">
        <v>15</v>
      </c>
      <c r="C784" s="48" t="s">
        <v>40</v>
      </c>
      <c r="D784" s="34">
        <v>3000000</v>
      </c>
      <c r="E784" s="117">
        <v>0</v>
      </c>
      <c r="F784" s="132">
        <v>0</v>
      </c>
      <c r="G784" s="192">
        <f>260000+140000+260000</f>
        <v>660000</v>
      </c>
      <c r="H784" s="299">
        <f t="shared" si="213"/>
        <v>22</v>
      </c>
      <c r="I784" s="192">
        <f t="shared" ref="I784:I785" si="219">G784</f>
        <v>660000</v>
      </c>
      <c r="J784" s="301">
        <f t="shared" si="217"/>
        <v>22</v>
      </c>
      <c r="K784" s="331">
        <f t="shared" si="214"/>
        <v>0.41666666666666669</v>
      </c>
      <c r="L784" s="311">
        <f t="shared" si="215"/>
        <v>22</v>
      </c>
      <c r="M784" s="132"/>
    </row>
    <row r="785" spans="1:13">
      <c r="A785" s="44"/>
      <c r="B785" s="47">
        <v>17</v>
      </c>
      <c r="C785" s="48" t="s">
        <v>41</v>
      </c>
      <c r="D785" s="34">
        <v>5000000</v>
      </c>
      <c r="E785" s="117">
        <v>0</v>
      </c>
      <c r="F785" s="132">
        <v>0</v>
      </c>
      <c r="G785" s="192">
        <f>1000000+250000+750000</f>
        <v>2000000</v>
      </c>
      <c r="H785" s="299">
        <f t="shared" si="213"/>
        <v>40</v>
      </c>
      <c r="I785" s="192">
        <f t="shared" si="219"/>
        <v>2000000</v>
      </c>
      <c r="J785" s="301">
        <f t="shared" si="217"/>
        <v>40</v>
      </c>
      <c r="K785" s="331">
        <f t="shared" si="214"/>
        <v>0.41666666666666669</v>
      </c>
      <c r="L785" s="311">
        <f t="shared" si="215"/>
        <v>40</v>
      </c>
      <c r="M785" s="132"/>
    </row>
    <row r="786" spans="1:13">
      <c r="A786" s="44"/>
      <c r="B786" s="47">
        <v>17</v>
      </c>
      <c r="C786" s="48" t="s">
        <v>42</v>
      </c>
      <c r="D786" s="34">
        <v>7000000</v>
      </c>
      <c r="E786" s="117">
        <v>0</v>
      </c>
      <c r="F786" s="132">
        <v>0</v>
      </c>
      <c r="G786" s="192">
        <f>1200000+400000+1800000</f>
        <v>3400000</v>
      </c>
      <c r="H786" s="299">
        <f t="shared" si="213"/>
        <v>48.571428571428569</v>
      </c>
      <c r="I786" s="192">
        <f>G786</f>
        <v>3400000</v>
      </c>
      <c r="J786" s="301">
        <f>I786/D786*100</f>
        <v>48.571428571428569</v>
      </c>
      <c r="K786" s="331">
        <f t="shared" si="214"/>
        <v>0.41666666666666669</v>
      </c>
      <c r="L786" s="311">
        <f t="shared" si="215"/>
        <v>48.571428571428569</v>
      </c>
      <c r="M786" s="132"/>
    </row>
    <row r="787" spans="1:13">
      <c r="A787" s="44"/>
      <c r="B787" s="47">
        <v>18</v>
      </c>
      <c r="C787" s="48" t="s">
        <v>43</v>
      </c>
      <c r="D787" s="34">
        <v>15000000</v>
      </c>
      <c r="E787" s="117">
        <v>0</v>
      </c>
      <c r="F787" s="132">
        <v>0</v>
      </c>
      <c r="G787" s="192">
        <f>1450000+375000+1525000+2900000</f>
        <v>6250000</v>
      </c>
      <c r="H787" s="299">
        <f t="shared" si="213"/>
        <v>41.666666666666671</v>
      </c>
      <c r="I787" s="192">
        <f>G787</f>
        <v>6250000</v>
      </c>
      <c r="J787" s="301">
        <f t="shared" ref="J787:J788" si="220">I787/D787*100</f>
        <v>41.666666666666671</v>
      </c>
      <c r="K787" s="331">
        <f t="shared" si="214"/>
        <v>0.41666666666666669</v>
      </c>
      <c r="L787" s="311">
        <f t="shared" si="215"/>
        <v>41.666666666666671</v>
      </c>
      <c r="M787" s="132"/>
    </row>
    <row r="788" spans="1:13" ht="15.75" thickBot="1">
      <c r="A788" s="44"/>
      <c r="B788" s="49">
        <v>19</v>
      </c>
      <c r="C788" s="50" t="s">
        <v>44</v>
      </c>
      <c r="D788" s="51">
        <v>51212000</v>
      </c>
      <c r="E788" s="298"/>
      <c r="F788" s="133">
        <v>0</v>
      </c>
      <c r="G788" s="192">
        <v>24363000</v>
      </c>
      <c r="H788" s="300">
        <f t="shared" si="213"/>
        <v>47.572834491915955</v>
      </c>
      <c r="I788" s="192">
        <f t="shared" ref="I788" si="221">G788</f>
        <v>24363000</v>
      </c>
      <c r="J788" s="301">
        <f t="shared" si="220"/>
        <v>47.572834491915955</v>
      </c>
      <c r="K788" s="331">
        <f t="shared" si="214"/>
        <v>0.41666666666666669</v>
      </c>
      <c r="L788" s="311">
        <f t="shared" si="215"/>
        <v>47.572834491915955</v>
      </c>
      <c r="M788" s="133"/>
    </row>
    <row r="789" spans="1:13" ht="15.75" thickBot="1">
      <c r="A789" s="35"/>
      <c r="B789" s="52"/>
      <c r="C789" s="37" t="s">
        <v>45</v>
      </c>
      <c r="D789" s="53">
        <f>SUM(D774:D788)</f>
        <v>170212000</v>
      </c>
      <c r="E789" s="53">
        <f>SUM(E774:E788)</f>
        <v>0</v>
      </c>
      <c r="F789" s="53">
        <f t="shared" ref="F789" si="222">SUM(F774:F788)</f>
        <v>0</v>
      </c>
      <c r="G789" s="53">
        <f>SUM(G774:G788)</f>
        <v>60418448</v>
      </c>
      <c r="H789" s="214">
        <f>G789/D789*100</f>
        <v>35.495997931990694</v>
      </c>
      <c r="I789" s="194">
        <f t="shared" ref="I789" si="223">SUM(I774:I788)</f>
        <v>60418448</v>
      </c>
      <c r="J789" s="214">
        <f>I789/D789*100</f>
        <v>35.495997931990694</v>
      </c>
      <c r="K789" s="332">
        <f>5/12</f>
        <v>0.41666666666666669</v>
      </c>
      <c r="L789" s="214">
        <f>J789</f>
        <v>35.495997931990694</v>
      </c>
      <c r="M789" s="53"/>
    </row>
    <row r="790" spans="1:13">
      <c r="A790" s="54" t="s">
        <v>29</v>
      </c>
      <c r="B790" s="55" t="s">
        <v>90</v>
      </c>
      <c r="C790" s="56"/>
      <c r="D790" s="57"/>
      <c r="E790" s="119"/>
      <c r="F790" s="131"/>
      <c r="G790" s="152"/>
      <c r="H790" s="152"/>
      <c r="I790" s="119"/>
      <c r="J790" s="152"/>
      <c r="K790" s="152"/>
      <c r="L790" s="152"/>
      <c r="M790" s="131"/>
    </row>
    <row r="791" spans="1:13">
      <c r="A791" s="279"/>
      <c r="B791" s="47" t="s">
        <v>53</v>
      </c>
      <c r="C791" s="46" t="s">
        <v>216</v>
      </c>
      <c r="D791" s="80">
        <v>40000000</v>
      </c>
      <c r="E791" s="119"/>
      <c r="F791" s="131"/>
      <c r="G791" s="152"/>
      <c r="H791" s="152"/>
      <c r="I791" s="119"/>
      <c r="J791" s="152"/>
      <c r="K791" s="331">
        <f>5/12</f>
        <v>0.41666666666666669</v>
      </c>
      <c r="L791" s="152">
        <v>0</v>
      </c>
      <c r="M791" s="131"/>
    </row>
    <row r="792" spans="1:13">
      <c r="A792" s="44"/>
      <c r="B792" s="47" t="s">
        <v>46</v>
      </c>
      <c r="C792" s="58" t="s">
        <v>110</v>
      </c>
      <c r="D792" s="59">
        <v>20000000</v>
      </c>
      <c r="E792" s="120">
        <v>0</v>
      </c>
      <c r="F792" s="132">
        <v>0</v>
      </c>
      <c r="G792" s="119">
        <v>0</v>
      </c>
      <c r="H792" s="59" t="s">
        <v>132</v>
      </c>
      <c r="I792" s="119">
        <f>G792</f>
        <v>0</v>
      </c>
      <c r="J792" s="59" t="s">
        <v>132</v>
      </c>
      <c r="K792" s="331">
        <f t="shared" ref="K792:K798" si="224">5/12</f>
        <v>0.41666666666666669</v>
      </c>
      <c r="L792" s="59">
        <v>0</v>
      </c>
      <c r="M792" s="132"/>
    </row>
    <row r="793" spans="1:13">
      <c r="A793" s="44"/>
      <c r="B793" s="47">
        <v>21</v>
      </c>
      <c r="C793" s="48" t="s">
        <v>47</v>
      </c>
      <c r="D793" s="59">
        <v>30000000</v>
      </c>
      <c r="E793" s="120">
        <v>0</v>
      </c>
      <c r="F793" s="132">
        <v>0</v>
      </c>
      <c r="G793" s="206">
        <v>30000000</v>
      </c>
      <c r="H793" s="299">
        <f t="shared" ref="H793:H797" si="225">G793/D793*100</f>
        <v>100</v>
      </c>
      <c r="I793" s="119">
        <f t="shared" ref="I793:I794" si="226">G793</f>
        <v>30000000</v>
      </c>
      <c r="J793" s="301">
        <f t="shared" ref="J793:J796" si="227">I793/D793*100</f>
        <v>100</v>
      </c>
      <c r="K793" s="331">
        <f t="shared" si="224"/>
        <v>0.41666666666666669</v>
      </c>
      <c r="L793" s="311">
        <f t="shared" ref="L793:L794" si="228">J793</f>
        <v>100</v>
      </c>
      <c r="M793" s="132"/>
    </row>
    <row r="794" spans="1:13">
      <c r="A794" s="44"/>
      <c r="B794" s="47">
        <v>22</v>
      </c>
      <c r="C794" s="48" t="s">
        <v>48</v>
      </c>
      <c r="D794" s="60">
        <v>30000000</v>
      </c>
      <c r="E794" s="120">
        <v>0</v>
      </c>
      <c r="F794" s="132">
        <v>0</v>
      </c>
      <c r="G794" s="206">
        <v>30000000</v>
      </c>
      <c r="H794" s="299">
        <f t="shared" si="225"/>
        <v>100</v>
      </c>
      <c r="I794" s="119">
        <f t="shared" si="226"/>
        <v>30000000</v>
      </c>
      <c r="J794" s="301">
        <f t="shared" si="227"/>
        <v>100</v>
      </c>
      <c r="K794" s="331">
        <f t="shared" si="224"/>
        <v>0.41666666666666669</v>
      </c>
      <c r="L794" s="311">
        <f t="shared" si="228"/>
        <v>100</v>
      </c>
      <c r="M794" s="154"/>
    </row>
    <row r="795" spans="1:13">
      <c r="A795" s="44"/>
      <c r="B795" s="47">
        <v>24</v>
      </c>
      <c r="C795" s="48" t="s">
        <v>49</v>
      </c>
      <c r="D795" s="60">
        <v>35000000</v>
      </c>
      <c r="E795" s="120">
        <v>0</v>
      </c>
      <c r="F795" s="132">
        <v>0</v>
      </c>
      <c r="G795" s="206">
        <f>6051250+1700000+2418000</f>
        <v>10169250</v>
      </c>
      <c r="H795" s="299">
        <f t="shared" si="225"/>
        <v>29.054999999999996</v>
      </c>
      <c r="I795" s="192">
        <f>G795</f>
        <v>10169250</v>
      </c>
      <c r="J795" s="301">
        <f t="shared" si="227"/>
        <v>29.054999999999996</v>
      </c>
      <c r="K795" s="331">
        <f t="shared" si="224"/>
        <v>0.41666666666666669</v>
      </c>
      <c r="L795" s="311">
        <f>J795</f>
        <v>29.054999999999996</v>
      </c>
      <c r="M795" s="132"/>
    </row>
    <row r="796" spans="1:13">
      <c r="A796" s="44"/>
      <c r="B796" s="47">
        <v>26</v>
      </c>
      <c r="C796" s="48" t="s">
        <v>50</v>
      </c>
      <c r="D796" s="60">
        <v>4000000</v>
      </c>
      <c r="E796" s="120">
        <v>0</v>
      </c>
      <c r="F796" s="132">
        <v>0</v>
      </c>
      <c r="G796" s="206">
        <v>1500000</v>
      </c>
      <c r="H796" s="299">
        <f t="shared" si="225"/>
        <v>37.5</v>
      </c>
      <c r="I796" s="192">
        <f>G796</f>
        <v>1500000</v>
      </c>
      <c r="J796" s="301">
        <f t="shared" si="227"/>
        <v>37.5</v>
      </c>
      <c r="K796" s="331">
        <f t="shared" si="224"/>
        <v>0.41666666666666669</v>
      </c>
      <c r="L796" s="311">
        <f t="shared" ref="L796:L798" si="229">J796</f>
        <v>37.5</v>
      </c>
      <c r="M796" s="132"/>
    </row>
    <row r="797" spans="1:13">
      <c r="A797" s="44"/>
      <c r="B797" s="47">
        <v>28</v>
      </c>
      <c r="C797" s="48" t="s">
        <v>51</v>
      </c>
      <c r="D797" s="60">
        <v>12000000</v>
      </c>
      <c r="E797" s="120">
        <v>0</v>
      </c>
      <c r="F797" s="132">
        <v>0</v>
      </c>
      <c r="G797" s="206">
        <f>300000+300000+2250000+1000000+400000</f>
        <v>4250000</v>
      </c>
      <c r="H797" s="299">
        <f t="shared" si="225"/>
        <v>35.416666666666671</v>
      </c>
      <c r="I797" s="192">
        <f>G797</f>
        <v>4250000</v>
      </c>
      <c r="J797" s="301">
        <f>I797/D797*100</f>
        <v>35.416666666666671</v>
      </c>
      <c r="K797" s="331">
        <f t="shared" si="224"/>
        <v>0.41666666666666669</v>
      </c>
      <c r="L797" s="311">
        <f t="shared" si="229"/>
        <v>35.416666666666671</v>
      </c>
      <c r="M797" s="132"/>
    </row>
    <row r="798" spans="1:13">
      <c r="A798" s="44"/>
      <c r="B798" s="61">
        <v>29</v>
      </c>
      <c r="C798" s="50" t="s">
        <v>52</v>
      </c>
      <c r="D798" s="62">
        <v>2000000</v>
      </c>
      <c r="E798" s="121">
        <v>0</v>
      </c>
      <c r="F798" s="133">
        <v>0</v>
      </c>
      <c r="G798" s="197">
        <f>200000+100000</f>
        <v>300000</v>
      </c>
      <c r="H798" s="312">
        <f>G798/D798*100</f>
        <v>15</v>
      </c>
      <c r="I798" s="313">
        <f t="shared" ref="I798" si="230">G798</f>
        <v>300000</v>
      </c>
      <c r="J798" s="314">
        <f t="shared" ref="J798" si="231">I798/D798*100</f>
        <v>15</v>
      </c>
      <c r="K798" s="331">
        <f t="shared" si="224"/>
        <v>0.41666666666666669</v>
      </c>
      <c r="L798" s="311">
        <f t="shared" si="229"/>
        <v>15</v>
      </c>
      <c r="M798" s="133"/>
    </row>
    <row r="799" spans="1:13">
      <c r="A799" s="63"/>
      <c r="B799" s="64"/>
      <c r="C799" s="65" t="s">
        <v>45</v>
      </c>
      <c r="D799" s="66">
        <f>SUM(D791:D798)</f>
        <v>173000000</v>
      </c>
      <c r="E799" s="122"/>
      <c r="F799" s="66"/>
      <c r="G799" s="285">
        <f>SUM(G791:G798)</f>
        <v>76219250</v>
      </c>
      <c r="H799" s="323">
        <f>G799/D799*100</f>
        <v>44.05736994219653</v>
      </c>
      <c r="I799" s="286">
        <f>SUM(I791:I798)</f>
        <v>76219250</v>
      </c>
      <c r="J799" s="323">
        <f>I799/D799*100</f>
        <v>44.05736994219653</v>
      </c>
      <c r="K799" s="333">
        <f>5/12</f>
        <v>0.41666666666666669</v>
      </c>
      <c r="L799" s="302">
        <f>J799</f>
        <v>44.05736994219653</v>
      </c>
      <c r="M799" s="66"/>
    </row>
    <row r="800" spans="1:13">
      <c r="A800" s="67" t="s">
        <v>53</v>
      </c>
      <c r="B800" s="68" t="s">
        <v>54</v>
      </c>
      <c r="C800" s="69"/>
      <c r="D800" s="70"/>
      <c r="E800" s="123"/>
      <c r="F800" s="134"/>
      <c r="G800" s="164"/>
      <c r="H800" s="148"/>
      <c r="I800" s="164"/>
      <c r="J800" s="152"/>
      <c r="K800" s="152"/>
      <c r="L800" s="156"/>
      <c r="M800" s="134"/>
    </row>
    <row r="801" spans="1:13">
      <c r="A801" s="44"/>
      <c r="B801" s="47" t="s">
        <v>26</v>
      </c>
      <c r="C801" s="48" t="s">
        <v>55</v>
      </c>
      <c r="D801" s="60">
        <v>25000000</v>
      </c>
      <c r="E801" s="120">
        <v>0</v>
      </c>
      <c r="F801" s="208">
        <v>0</v>
      </c>
      <c r="G801" s="197" t="s">
        <v>132</v>
      </c>
      <c r="H801" s="59" t="s">
        <v>132</v>
      </c>
      <c r="I801" s="197" t="s">
        <v>132</v>
      </c>
      <c r="J801" s="59" t="s">
        <v>132</v>
      </c>
      <c r="K801" s="59">
        <v>0</v>
      </c>
      <c r="L801" s="59">
        <v>0</v>
      </c>
      <c r="M801" s="132"/>
    </row>
    <row r="802" spans="1:13">
      <c r="A802" s="63"/>
      <c r="B802" s="71"/>
      <c r="C802" s="65" t="s">
        <v>45</v>
      </c>
      <c r="D802" s="66">
        <f>SUM(D801:D801)</f>
        <v>25000000</v>
      </c>
      <c r="E802" s="122">
        <f>SUM(E801:E801)</f>
        <v>0</v>
      </c>
      <c r="F802" s="202">
        <f>SUM(F801:F801)</f>
        <v>0</v>
      </c>
      <c r="G802" s="122" t="s">
        <v>132</v>
      </c>
      <c r="H802" s="66" t="s">
        <v>132</v>
      </c>
      <c r="I802" s="122" t="s">
        <v>132</v>
      </c>
      <c r="J802" s="155" t="s">
        <v>132</v>
      </c>
      <c r="K802" s="66">
        <f>SUM(K801:K801)</f>
        <v>0</v>
      </c>
      <c r="L802" s="66">
        <f>SUM(L801:L801)</f>
        <v>0</v>
      </c>
      <c r="M802" s="66"/>
    </row>
    <row r="803" spans="1:13">
      <c r="A803" s="44">
        <v>15</v>
      </c>
      <c r="B803" s="72" t="s">
        <v>61</v>
      </c>
      <c r="C803" s="73"/>
      <c r="D803" s="57"/>
      <c r="E803" s="119"/>
      <c r="F803" s="209"/>
      <c r="G803" s="119" t="s">
        <v>132</v>
      </c>
      <c r="H803" s="152" t="s">
        <v>132</v>
      </c>
      <c r="I803" s="119" t="s">
        <v>132</v>
      </c>
      <c r="J803" s="152" t="s">
        <v>132</v>
      </c>
      <c r="K803" s="152"/>
      <c r="L803" s="152"/>
      <c r="M803" s="131"/>
    </row>
    <row r="804" spans="1:13">
      <c r="A804" s="44"/>
      <c r="B804" s="47">
        <v>18</v>
      </c>
      <c r="C804" s="48" t="s">
        <v>62</v>
      </c>
      <c r="D804" s="60">
        <v>5000000</v>
      </c>
      <c r="E804" s="120">
        <v>0</v>
      </c>
      <c r="F804" s="208">
        <v>0</v>
      </c>
      <c r="G804" s="120" t="s">
        <v>132</v>
      </c>
      <c r="H804" s="59" t="s">
        <v>132</v>
      </c>
      <c r="I804" s="120" t="s">
        <v>132</v>
      </c>
      <c r="J804" s="59" t="s">
        <v>132</v>
      </c>
      <c r="K804" s="331">
        <f>5/12</f>
        <v>0.41666666666666669</v>
      </c>
      <c r="L804" s="59">
        <v>0</v>
      </c>
      <c r="M804" s="132"/>
    </row>
    <row r="805" spans="1:13" ht="25.5">
      <c r="A805" s="44"/>
      <c r="B805" s="49">
        <v>63</v>
      </c>
      <c r="C805" s="244" t="s">
        <v>63</v>
      </c>
      <c r="D805" s="62">
        <v>5000000</v>
      </c>
      <c r="E805" s="121">
        <v>0</v>
      </c>
      <c r="F805" s="210">
        <v>0</v>
      </c>
      <c r="G805" s="121" t="s">
        <v>132</v>
      </c>
      <c r="H805" s="153" t="s">
        <v>132</v>
      </c>
      <c r="I805" s="121" t="s">
        <v>132</v>
      </c>
      <c r="J805" s="153" t="s">
        <v>132</v>
      </c>
      <c r="K805" s="331">
        <f>5/12</f>
        <v>0.41666666666666669</v>
      </c>
      <c r="L805" s="153">
        <v>0</v>
      </c>
      <c r="M805" s="133"/>
    </row>
    <row r="806" spans="1:13">
      <c r="A806" s="63"/>
      <c r="B806" s="64"/>
      <c r="C806" s="65" t="s">
        <v>45</v>
      </c>
      <c r="D806" s="66">
        <f>SUM(D804:D805)</f>
        <v>10000000</v>
      </c>
      <c r="E806" s="122">
        <f t="shared" ref="E806" si="232">SUM(E804:E805)</f>
        <v>0</v>
      </c>
      <c r="F806" s="202">
        <f>SUM(F804:F805)</f>
        <v>0</v>
      </c>
      <c r="G806" s="195" t="s">
        <v>132</v>
      </c>
      <c r="H806" s="66" t="s">
        <v>132</v>
      </c>
      <c r="I806" s="195" t="s">
        <v>132</v>
      </c>
      <c r="J806" s="155" t="s">
        <v>132</v>
      </c>
      <c r="K806" s="356">
        <f>5/12</f>
        <v>0.41666666666666669</v>
      </c>
      <c r="L806" s="66">
        <f t="shared" ref="L806" si="233">SUM(L804:L805)</f>
        <v>0</v>
      </c>
      <c r="M806" s="66"/>
    </row>
    <row r="807" spans="1:13">
      <c r="A807" s="44">
        <v>30</v>
      </c>
      <c r="B807" s="77" t="s">
        <v>64</v>
      </c>
      <c r="C807" s="78"/>
      <c r="D807" s="57"/>
      <c r="E807" s="119"/>
      <c r="F807" s="209"/>
      <c r="G807" s="119"/>
      <c r="H807" s="152"/>
      <c r="I807" s="119"/>
      <c r="J807" s="152"/>
      <c r="K807" s="152"/>
      <c r="L807" s="152"/>
      <c r="M807" s="131"/>
    </row>
    <row r="808" spans="1:13">
      <c r="A808" s="44"/>
      <c r="B808" s="45">
        <v>2</v>
      </c>
      <c r="C808" s="79" t="s">
        <v>102</v>
      </c>
      <c r="D808" s="80">
        <v>200000000</v>
      </c>
      <c r="E808" s="124">
        <v>0</v>
      </c>
      <c r="F808" s="209">
        <v>0</v>
      </c>
      <c r="G808" s="124">
        <v>199258000</v>
      </c>
      <c r="H808" s="312">
        <f t="shared" ref="H808" si="234">G808/D808*100</f>
        <v>99.629000000000005</v>
      </c>
      <c r="I808" s="120">
        <f>G808</f>
        <v>199258000</v>
      </c>
      <c r="J808" s="301">
        <f>I808/D808*100</f>
        <v>99.629000000000005</v>
      </c>
      <c r="K808" s="355">
        <f>5/12</f>
        <v>0.41666666666666669</v>
      </c>
      <c r="L808" s="152"/>
      <c r="M808" s="131"/>
    </row>
    <row r="809" spans="1:13">
      <c r="A809" s="63"/>
      <c r="B809" s="64"/>
      <c r="C809" s="65" t="s">
        <v>45</v>
      </c>
      <c r="D809" s="66">
        <f>SUM(D807:D808)</f>
        <v>200000000</v>
      </c>
      <c r="E809" s="66">
        <f>SUM(E807:E808)</f>
        <v>0</v>
      </c>
      <c r="F809" s="202">
        <f>SUM(F807:F808)</f>
        <v>0</v>
      </c>
      <c r="G809" s="122">
        <f>SUM(G808)</f>
        <v>199258000</v>
      </c>
      <c r="H809" s="323">
        <f>G809/D809*100</f>
        <v>99.629000000000005</v>
      </c>
      <c r="I809" s="122">
        <f>SUM(I808)</f>
        <v>199258000</v>
      </c>
      <c r="J809" s="323">
        <f>I809/D809*100</f>
        <v>99.629000000000005</v>
      </c>
      <c r="K809" s="356">
        <f>5/12</f>
        <v>0.41666666666666669</v>
      </c>
      <c r="L809" s="66">
        <f t="shared" ref="L809" si="235">SUM(L807:L808)</f>
        <v>0</v>
      </c>
      <c r="M809" s="66"/>
    </row>
    <row r="810" spans="1:13">
      <c r="A810" s="44">
        <v>21</v>
      </c>
      <c r="B810" s="81" t="s">
        <v>65</v>
      </c>
      <c r="C810" s="82"/>
      <c r="D810" s="57"/>
      <c r="E810" s="119"/>
      <c r="F810" s="209"/>
      <c r="G810" s="119"/>
      <c r="H810" s="152"/>
      <c r="I810" s="119"/>
      <c r="J810" s="152"/>
      <c r="K810" s="152"/>
      <c r="L810" s="152"/>
      <c r="M810" s="131"/>
    </row>
    <row r="811" spans="1:13">
      <c r="A811" s="44"/>
      <c r="B811" s="47" t="s">
        <v>46</v>
      </c>
      <c r="C811" s="48" t="s">
        <v>66</v>
      </c>
      <c r="D811" s="60">
        <v>20000000</v>
      </c>
      <c r="E811" s="125">
        <v>0</v>
      </c>
      <c r="F811" s="211">
        <v>0</v>
      </c>
      <c r="G811" s="199">
        <v>20000000</v>
      </c>
      <c r="H811" s="312">
        <f>G811/D811*100</f>
        <v>100</v>
      </c>
      <c r="I811" s="197">
        <f>G811</f>
        <v>20000000</v>
      </c>
      <c r="J811" s="59">
        <f>H811</f>
        <v>100</v>
      </c>
      <c r="K811" s="349">
        <f>5/12</f>
        <v>0.41666666666666669</v>
      </c>
      <c r="L811" s="59">
        <f>J811</f>
        <v>100</v>
      </c>
      <c r="M811" s="132"/>
    </row>
    <row r="812" spans="1:13">
      <c r="A812" s="63"/>
      <c r="B812" s="83"/>
      <c r="C812" s="65" t="s">
        <v>45</v>
      </c>
      <c r="D812" s="66">
        <f>SUM(D811:D811)</f>
        <v>20000000</v>
      </c>
      <c r="E812" s="66">
        <f t="shared" ref="E812:F812" si="236">SUM(E809:E811)</f>
        <v>0</v>
      </c>
      <c r="F812" s="202">
        <f t="shared" si="236"/>
        <v>0</v>
      </c>
      <c r="G812" s="122">
        <f>SUM(G811)</f>
        <v>20000000</v>
      </c>
      <c r="H812" s="323">
        <f>G812/D812*100</f>
        <v>100</v>
      </c>
      <c r="I812" s="122">
        <f>SUM(I811)</f>
        <v>20000000</v>
      </c>
      <c r="J812" s="66">
        <f>H812</f>
        <v>100</v>
      </c>
      <c r="K812" s="350">
        <f>5/12</f>
        <v>0.41666666666666669</v>
      </c>
      <c r="L812" s="66">
        <f t="shared" ref="L812" si="237">SUM(L809:L811)</f>
        <v>100</v>
      </c>
      <c r="M812" s="66"/>
    </row>
    <row r="813" spans="1:13">
      <c r="A813" s="84">
        <v>18</v>
      </c>
      <c r="B813" s="826" t="s">
        <v>96</v>
      </c>
      <c r="C813" s="827"/>
      <c r="D813" s="57"/>
      <c r="E813" s="119"/>
      <c r="F813" s="209"/>
      <c r="G813" s="119"/>
      <c r="H813" s="152"/>
      <c r="I813" s="119"/>
      <c r="J813" s="152"/>
      <c r="K813" s="152"/>
      <c r="L813" s="152"/>
      <c r="M813" s="131"/>
    </row>
    <row r="814" spans="1:13">
      <c r="A814" s="84"/>
      <c r="B814" s="830" t="s">
        <v>95</v>
      </c>
      <c r="C814" s="831"/>
      <c r="D814" s="57"/>
      <c r="E814" s="124"/>
      <c r="F814" s="209"/>
      <c r="G814" s="119"/>
      <c r="H814" s="152"/>
      <c r="I814" s="119"/>
      <c r="J814" s="152"/>
      <c r="K814" s="152"/>
      <c r="L814" s="152"/>
      <c r="M814" s="131"/>
    </row>
    <row r="815" spans="1:13">
      <c r="A815" s="44"/>
      <c r="B815" s="47" t="s">
        <v>26</v>
      </c>
      <c r="C815" s="48" t="s">
        <v>67</v>
      </c>
      <c r="D815" s="60">
        <v>20000000</v>
      </c>
      <c r="E815" s="125">
        <v>0</v>
      </c>
      <c r="F815" s="211">
        <v>0</v>
      </c>
      <c r="G815" s="199" t="s">
        <v>132</v>
      </c>
      <c r="H815" s="59" t="s">
        <v>132</v>
      </c>
      <c r="I815" s="119" t="str">
        <f t="shared" ref="I815" si="238">G815</f>
        <v>-</v>
      </c>
      <c r="J815" s="59" t="s">
        <v>132</v>
      </c>
      <c r="K815" s="59">
        <v>0</v>
      </c>
      <c r="L815" s="59">
        <v>0</v>
      </c>
      <c r="M815" s="132"/>
    </row>
    <row r="816" spans="1:13">
      <c r="A816" s="44"/>
      <c r="B816" s="47" t="s">
        <v>29</v>
      </c>
      <c r="C816" s="204" t="s">
        <v>220</v>
      </c>
      <c r="D816" s="179">
        <v>7000000</v>
      </c>
      <c r="E816" s="180">
        <v>0</v>
      </c>
      <c r="F816" s="181">
        <v>0</v>
      </c>
      <c r="G816" s="207" t="s">
        <v>132</v>
      </c>
      <c r="H816" s="148" t="s">
        <v>132</v>
      </c>
      <c r="I816" s="119" t="s">
        <v>132</v>
      </c>
      <c r="J816" s="148" t="s">
        <v>132</v>
      </c>
      <c r="K816" s="59">
        <v>0</v>
      </c>
      <c r="L816" s="148">
        <v>0</v>
      </c>
      <c r="M816" s="165"/>
    </row>
    <row r="817" spans="1:13">
      <c r="A817" s="44"/>
      <c r="B817" s="47"/>
      <c r="C817" s="48" t="s">
        <v>117</v>
      </c>
      <c r="D817" s="60"/>
      <c r="E817" s="125"/>
      <c r="F817" s="135"/>
      <c r="G817" s="199"/>
      <c r="H817" s="59"/>
      <c r="I817" s="197"/>
      <c r="J817" s="59"/>
      <c r="K817" s="59"/>
      <c r="L817" s="59"/>
      <c r="M817" s="132"/>
    </row>
    <row r="818" spans="1:13">
      <c r="A818" s="63"/>
      <c r="B818" s="71"/>
      <c r="C818" s="65" t="s">
        <v>45</v>
      </c>
      <c r="D818" s="66">
        <f>SUM(D815:D817)</f>
        <v>27000000</v>
      </c>
      <c r="E818" s="66">
        <f t="shared" ref="E818" si="239">SUM(E815:E815)</f>
        <v>0</v>
      </c>
      <c r="F818" s="66">
        <f>SUM(F815:F815)</f>
        <v>0</v>
      </c>
      <c r="G818" s="122" t="s">
        <v>132</v>
      </c>
      <c r="H818" s="66" t="s">
        <v>132</v>
      </c>
      <c r="I818" s="122" t="s">
        <v>132</v>
      </c>
      <c r="J818" s="66" t="s">
        <v>132</v>
      </c>
      <c r="K818" s="66">
        <f>SUM(K815:K817)</f>
        <v>0</v>
      </c>
      <c r="L818" s="66">
        <f t="shared" ref="L818" si="240">SUM(L815:L815)</f>
        <v>0</v>
      </c>
      <c r="M818" s="66"/>
    </row>
    <row r="819" spans="1:13">
      <c r="A819" s="84">
        <v>17</v>
      </c>
      <c r="B819" s="826" t="s">
        <v>130</v>
      </c>
      <c r="C819" s="827"/>
      <c r="D819" s="57"/>
      <c r="E819" s="119"/>
      <c r="F819" s="131"/>
      <c r="G819" s="119"/>
      <c r="H819" s="152"/>
      <c r="I819" s="119"/>
      <c r="J819" s="152"/>
      <c r="K819" s="152"/>
      <c r="L819" s="152"/>
      <c r="M819" s="131"/>
    </row>
    <row r="820" spans="1:13">
      <c r="A820" s="44"/>
      <c r="B820" s="47" t="s">
        <v>53</v>
      </c>
      <c r="C820" s="48" t="s">
        <v>131</v>
      </c>
      <c r="D820" s="60">
        <v>24000000</v>
      </c>
      <c r="E820" s="125">
        <v>0</v>
      </c>
      <c r="F820" s="135">
        <v>0</v>
      </c>
      <c r="G820" s="197" t="s">
        <v>132</v>
      </c>
      <c r="H820" s="59" t="s">
        <v>132</v>
      </c>
      <c r="I820" s="197" t="s">
        <v>132</v>
      </c>
      <c r="J820" s="59" t="s">
        <v>132</v>
      </c>
      <c r="K820" s="59">
        <v>0</v>
      </c>
      <c r="L820" s="59">
        <v>0</v>
      </c>
      <c r="M820" s="132"/>
    </row>
    <row r="821" spans="1:13">
      <c r="A821" s="63"/>
      <c r="B821" s="64"/>
      <c r="C821" s="65" t="s">
        <v>45</v>
      </c>
      <c r="D821" s="66">
        <f>SUM(D820:D820)</f>
        <v>24000000</v>
      </c>
      <c r="E821" s="66">
        <f t="shared" ref="E821:F821" si="241">SUM(E819:E820)</f>
        <v>0</v>
      </c>
      <c r="F821" s="66">
        <f t="shared" si="241"/>
        <v>0</v>
      </c>
      <c r="G821" s="122" t="s">
        <v>132</v>
      </c>
      <c r="H821" s="66" t="s">
        <v>132</v>
      </c>
      <c r="I821" s="122" t="s">
        <v>132</v>
      </c>
      <c r="J821" s="66" t="s">
        <v>132</v>
      </c>
      <c r="K821" s="66">
        <f t="shared" ref="K821:L821" si="242">SUM(K819:K820)</f>
        <v>0</v>
      </c>
      <c r="L821" s="66">
        <f t="shared" si="242"/>
        <v>0</v>
      </c>
      <c r="M821" s="66"/>
    </row>
    <row r="822" spans="1:13">
      <c r="A822" s="44">
        <v>15</v>
      </c>
      <c r="B822" s="542" t="s">
        <v>68</v>
      </c>
      <c r="C822" s="86"/>
      <c r="D822" s="57"/>
      <c r="E822" s="119"/>
      <c r="F822" s="131"/>
      <c r="G822" s="119"/>
      <c r="H822" s="152"/>
      <c r="I822" s="119"/>
      <c r="J822" s="152"/>
      <c r="K822" s="152"/>
      <c r="L822" s="152"/>
      <c r="M822" s="131"/>
    </row>
    <row r="823" spans="1:13" ht="26.25">
      <c r="A823" s="44"/>
      <c r="B823" s="49" t="s">
        <v>80</v>
      </c>
      <c r="C823" s="50" t="s">
        <v>118</v>
      </c>
      <c r="D823" s="62">
        <v>10000000</v>
      </c>
      <c r="E823" s="125">
        <v>0</v>
      </c>
      <c r="F823" s="135">
        <v>0</v>
      </c>
      <c r="G823" s="119" t="s">
        <v>132</v>
      </c>
      <c r="H823" s="59" t="s">
        <v>132</v>
      </c>
      <c r="I823" s="119" t="s">
        <v>132</v>
      </c>
      <c r="J823" s="59" t="s">
        <v>132</v>
      </c>
      <c r="K823" s="339">
        <f>5/12</f>
        <v>0.41666666666666669</v>
      </c>
      <c r="L823" s="59">
        <v>0</v>
      </c>
      <c r="M823" s="132"/>
    </row>
    <row r="824" spans="1:13">
      <c r="A824" s="44"/>
      <c r="B824" s="49" t="s">
        <v>69</v>
      </c>
      <c r="C824" s="50" t="s">
        <v>70</v>
      </c>
      <c r="D824" s="62">
        <v>60000000</v>
      </c>
      <c r="E824" s="125">
        <v>0</v>
      </c>
      <c r="F824" s="135">
        <v>0</v>
      </c>
      <c r="G824" s="197">
        <v>30000000</v>
      </c>
      <c r="H824" s="312">
        <f>G824/D824*100</f>
        <v>50</v>
      </c>
      <c r="I824" s="197">
        <f>G824</f>
        <v>30000000</v>
      </c>
      <c r="J824" s="301">
        <f>H824</f>
        <v>50</v>
      </c>
      <c r="K824" s="349">
        <f>5/12</f>
        <v>0.41666666666666669</v>
      </c>
      <c r="L824" s="59">
        <v>0</v>
      </c>
      <c r="M824" s="132"/>
    </row>
    <row r="825" spans="1:13">
      <c r="A825" s="63"/>
      <c r="B825" s="64"/>
      <c r="C825" s="65" t="s">
        <v>45</v>
      </c>
      <c r="D825" s="66">
        <f>SUM(D823:D824)</f>
        <v>70000000</v>
      </c>
      <c r="E825" s="66">
        <f>SUM(E821:E824)</f>
        <v>0</v>
      </c>
      <c r="F825" s="66">
        <f>SUM(F821:F824)</f>
        <v>0</v>
      </c>
      <c r="G825" s="122">
        <f>SUM(G824)</f>
        <v>30000000</v>
      </c>
      <c r="H825" s="323">
        <f>G825/D825*100</f>
        <v>42.857142857142854</v>
      </c>
      <c r="I825" s="122">
        <f>SUM(I824)</f>
        <v>30000000</v>
      </c>
      <c r="J825" s="302">
        <f>H825</f>
        <v>42.857142857142854</v>
      </c>
      <c r="K825" s="356">
        <f>5/12</f>
        <v>0.41666666666666669</v>
      </c>
      <c r="L825" s="66">
        <f>SUM(L821:L824)</f>
        <v>0</v>
      </c>
      <c r="M825" s="66"/>
    </row>
    <row r="826" spans="1:13">
      <c r="A826" s="44">
        <v>16</v>
      </c>
      <c r="B826" s="81" t="s">
        <v>71</v>
      </c>
      <c r="C826" s="82"/>
      <c r="D826" s="57"/>
      <c r="E826" s="119"/>
      <c r="F826" s="131"/>
      <c r="G826" s="119"/>
      <c r="H826" s="152"/>
      <c r="I826" s="119"/>
      <c r="J826" s="152"/>
      <c r="K826" s="152"/>
      <c r="L826" s="152"/>
      <c r="M826" s="131"/>
    </row>
    <row r="827" spans="1:13">
      <c r="A827" s="44"/>
      <c r="B827" s="47" t="s">
        <v>72</v>
      </c>
      <c r="C827" s="48" t="s">
        <v>73</v>
      </c>
      <c r="D827" s="60">
        <v>5000000</v>
      </c>
      <c r="E827" s="120">
        <v>0</v>
      </c>
      <c r="F827" s="132">
        <v>0</v>
      </c>
      <c r="G827" s="120">
        <v>5000000</v>
      </c>
      <c r="H827" s="312">
        <f>G827/D827*100</f>
        <v>100</v>
      </c>
      <c r="I827" s="313">
        <f t="shared" ref="I827:I828" si="243">G827</f>
        <v>5000000</v>
      </c>
      <c r="J827" s="314">
        <f t="shared" ref="J827:J828" si="244">I827/D827*100</f>
        <v>100</v>
      </c>
      <c r="K827" s="339">
        <f>5/12</f>
        <v>0.41666666666666669</v>
      </c>
      <c r="L827" s="311">
        <f>J827</f>
        <v>100</v>
      </c>
      <c r="M827" s="132"/>
    </row>
    <row r="828" spans="1:13">
      <c r="A828" s="63"/>
      <c r="B828" s="83"/>
      <c r="C828" s="65" t="s">
        <v>45</v>
      </c>
      <c r="D828" s="66">
        <f>SUM(D827:D827)</f>
        <v>5000000</v>
      </c>
      <c r="E828" s="122">
        <f>SUM(E827:E827)</f>
        <v>0</v>
      </c>
      <c r="F828" s="66">
        <f>SUM(F827:F827)</f>
        <v>0</v>
      </c>
      <c r="G828" s="195">
        <f>G827</f>
        <v>5000000</v>
      </c>
      <c r="H828" s="310">
        <f>G828/D828*100</f>
        <v>100</v>
      </c>
      <c r="I828" s="192">
        <f t="shared" si="243"/>
        <v>5000000</v>
      </c>
      <c r="J828" s="311">
        <f t="shared" si="244"/>
        <v>100</v>
      </c>
      <c r="K828" s="333">
        <f>SUM(K827)</f>
        <v>0.41666666666666669</v>
      </c>
      <c r="L828" s="302">
        <f>SUM(L827)</f>
        <v>100</v>
      </c>
      <c r="M828" s="66"/>
    </row>
    <row r="829" spans="1:13">
      <c r="A829" s="87" t="s">
        <v>69</v>
      </c>
      <c r="B829" s="826" t="s">
        <v>89</v>
      </c>
      <c r="C829" s="827"/>
      <c r="D829" s="70"/>
      <c r="E829" s="123"/>
      <c r="F829" s="134"/>
      <c r="G829" s="123"/>
      <c r="H829" s="156"/>
      <c r="I829" s="123"/>
      <c r="J829" s="156"/>
      <c r="K829" s="156"/>
      <c r="L829" s="156"/>
      <c r="M829" s="134"/>
    </row>
    <row r="830" spans="1:13">
      <c r="A830" s="88"/>
      <c r="B830" s="830" t="s">
        <v>88</v>
      </c>
      <c r="C830" s="831"/>
      <c r="D830" s="57"/>
      <c r="E830" s="119"/>
      <c r="F830" s="131"/>
      <c r="G830" s="119"/>
      <c r="H830" s="152"/>
      <c r="I830" s="119"/>
      <c r="J830" s="152"/>
      <c r="K830" s="152"/>
      <c r="L830" s="152"/>
      <c r="M830" s="131"/>
    </row>
    <row r="831" spans="1:13">
      <c r="A831" s="89"/>
      <c r="B831" s="61" t="s">
        <v>26</v>
      </c>
      <c r="C831" s="90" t="s">
        <v>74</v>
      </c>
      <c r="D831" s="91">
        <v>15000000</v>
      </c>
      <c r="E831" s="126">
        <v>0</v>
      </c>
      <c r="F831" s="136">
        <v>0</v>
      </c>
      <c r="G831" s="126">
        <v>15000000</v>
      </c>
      <c r="H831" s="312">
        <f>G831/D831*100</f>
        <v>100</v>
      </c>
      <c r="I831" s="313">
        <f t="shared" ref="I831:I832" si="245">G831</f>
        <v>15000000</v>
      </c>
      <c r="J831" s="314">
        <f t="shared" ref="J831:J832" si="246">I831/D831*100</f>
        <v>100</v>
      </c>
      <c r="K831" s="339">
        <f>5/12</f>
        <v>0.41666666666666669</v>
      </c>
      <c r="L831" s="311">
        <f>J831</f>
        <v>100</v>
      </c>
      <c r="M831" s="136"/>
    </row>
    <row r="832" spans="1:13">
      <c r="A832" s="63"/>
      <c r="B832" s="83"/>
      <c r="C832" s="65" t="s">
        <v>45</v>
      </c>
      <c r="D832" s="66">
        <f>SUM(D831:D831)</f>
        <v>15000000</v>
      </c>
      <c r="E832" s="122">
        <f>SUM(E831:E831)</f>
        <v>0</v>
      </c>
      <c r="F832" s="66">
        <f>SUM(F831:F831)</f>
        <v>0</v>
      </c>
      <c r="G832" s="126">
        <f>SUM(G831)</f>
        <v>15000000</v>
      </c>
      <c r="H832" s="316">
        <f>G832/D832*100</f>
        <v>100</v>
      </c>
      <c r="I832" s="315">
        <f t="shared" si="245"/>
        <v>15000000</v>
      </c>
      <c r="J832" s="317">
        <f t="shared" si="246"/>
        <v>100</v>
      </c>
      <c r="K832" s="333">
        <f>SUM(K831)</f>
        <v>0.41666666666666669</v>
      </c>
      <c r="L832" s="302">
        <f>SUM(L831)</f>
        <v>100</v>
      </c>
      <c r="M832" s="66"/>
    </row>
    <row r="833" spans="1:13">
      <c r="A833" s="88"/>
      <c r="B833" s="826" t="s">
        <v>94</v>
      </c>
      <c r="C833" s="827"/>
      <c r="D833" s="57"/>
      <c r="E833" s="119"/>
      <c r="F833" s="131"/>
      <c r="G833" s="119"/>
      <c r="H833" s="152"/>
      <c r="I833" s="119"/>
      <c r="J833" s="152"/>
      <c r="K833" s="152"/>
      <c r="L833" s="152"/>
      <c r="M833" s="131"/>
    </row>
    <row r="834" spans="1:13">
      <c r="A834" s="84"/>
      <c r="B834" s="92" t="s">
        <v>26</v>
      </c>
      <c r="C834" s="48" t="s">
        <v>134</v>
      </c>
      <c r="D834" s="60">
        <v>4000000</v>
      </c>
      <c r="E834" s="125">
        <v>0</v>
      </c>
      <c r="F834" s="135">
        <v>0</v>
      </c>
      <c r="G834" s="197" t="s">
        <v>132</v>
      </c>
      <c r="H834" s="59" t="s">
        <v>132</v>
      </c>
      <c r="I834" s="197" t="s">
        <v>132</v>
      </c>
      <c r="J834" s="59" t="s">
        <v>132</v>
      </c>
      <c r="K834" s="355">
        <f>5/12</f>
        <v>0.41666666666666669</v>
      </c>
      <c r="L834" s="59">
        <v>0</v>
      </c>
      <c r="M834" s="132"/>
    </row>
    <row r="835" spans="1:13">
      <c r="A835" s="93"/>
      <c r="B835" s="64"/>
      <c r="C835" s="65" t="s">
        <v>45</v>
      </c>
      <c r="D835" s="66">
        <f>SUM(D834:D834)</f>
        <v>4000000</v>
      </c>
      <c r="E835" s="66">
        <f t="shared" ref="E835:F835" si="247">SUM(E829:E834)</f>
        <v>0</v>
      </c>
      <c r="F835" s="66">
        <f t="shared" si="247"/>
        <v>0</v>
      </c>
      <c r="G835" s="122" t="s">
        <v>132</v>
      </c>
      <c r="H835" s="66" t="s">
        <v>132</v>
      </c>
      <c r="I835" s="122" t="s">
        <v>132</v>
      </c>
      <c r="J835" s="66" t="s">
        <v>132</v>
      </c>
      <c r="K835" s="350">
        <f>5/12</f>
        <v>0.41666666666666669</v>
      </c>
      <c r="L835" s="66">
        <v>0</v>
      </c>
      <c r="M835" s="66"/>
    </row>
    <row r="836" spans="1:13">
      <c r="A836" s="84">
        <v>16</v>
      </c>
      <c r="B836" s="826" t="s">
        <v>75</v>
      </c>
      <c r="C836" s="827"/>
      <c r="D836" s="57"/>
      <c r="E836" s="119"/>
      <c r="F836" s="131"/>
      <c r="G836" s="119"/>
      <c r="H836" s="156"/>
      <c r="I836" s="123"/>
      <c r="J836" s="152"/>
      <c r="K836" s="152"/>
      <c r="L836" s="152"/>
      <c r="M836" s="131"/>
    </row>
    <row r="837" spans="1:13">
      <c r="A837" s="84"/>
      <c r="B837" s="94" t="s">
        <v>72</v>
      </c>
      <c r="C837" s="95" t="s">
        <v>103</v>
      </c>
      <c r="D837" s="80">
        <v>10000000</v>
      </c>
      <c r="E837" s="124"/>
      <c r="F837" s="131"/>
      <c r="G837" s="218">
        <v>3000000</v>
      </c>
      <c r="H837" s="312">
        <f>G837/D837*100</f>
        <v>30</v>
      </c>
      <c r="I837" s="313">
        <f t="shared" ref="I837" si="248">G837</f>
        <v>3000000</v>
      </c>
      <c r="J837" s="314">
        <f t="shared" ref="J837" si="249">I837/D837*100</f>
        <v>30</v>
      </c>
      <c r="K837" s="339">
        <f>5/12</f>
        <v>0.41666666666666669</v>
      </c>
      <c r="L837" s="311">
        <f>J837</f>
        <v>30</v>
      </c>
      <c r="M837" s="131"/>
    </row>
    <row r="838" spans="1:13">
      <c r="A838" s="93"/>
      <c r="B838" s="83"/>
      <c r="C838" s="65" t="s">
        <v>45</v>
      </c>
      <c r="D838" s="66">
        <f>SUM(D837)</f>
        <v>10000000</v>
      </c>
      <c r="E838" s="66">
        <f t="shared" ref="E838:F838" si="250">SUM(E836:E837)</f>
        <v>0</v>
      </c>
      <c r="F838" s="66">
        <f t="shared" si="250"/>
        <v>0</v>
      </c>
      <c r="G838" s="122">
        <f>SUM(G837)</f>
        <v>3000000</v>
      </c>
      <c r="H838" s="302">
        <f t="shared" ref="H838:J838" si="251">SUM(H837)</f>
        <v>30</v>
      </c>
      <c r="I838" s="122">
        <f t="shared" si="251"/>
        <v>3000000</v>
      </c>
      <c r="J838" s="302">
        <f t="shared" si="251"/>
        <v>30</v>
      </c>
      <c r="K838" s="333">
        <f>SUM(K837)</f>
        <v>0.41666666666666669</v>
      </c>
      <c r="L838" s="302">
        <f t="shared" ref="L838" si="252">SUM(L837)</f>
        <v>30</v>
      </c>
      <c r="M838" s="66"/>
    </row>
    <row r="839" spans="1:13">
      <c r="A839" s="84">
        <v>22</v>
      </c>
      <c r="B839" s="826" t="s">
        <v>87</v>
      </c>
      <c r="C839" s="827"/>
      <c r="D839" s="57"/>
      <c r="E839" s="119"/>
      <c r="F839" s="131"/>
      <c r="G839" s="119"/>
      <c r="H839" s="152"/>
      <c r="I839" s="119"/>
      <c r="J839" s="152"/>
      <c r="K839" s="152"/>
      <c r="L839" s="152"/>
      <c r="M839" s="131"/>
    </row>
    <row r="840" spans="1:13" ht="25.5">
      <c r="A840" s="84"/>
      <c r="B840" s="47" t="s">
        <v>26</v>
      </c>
      <c r="C840" s="95" t="s">
        <v>76</v>
      </c>
      <c r="D840" s="60">
        <v>3500000</v>
      </c>
      <c r="E840" s="125">
        <v>0</v>
      </c>
      <c r="F840" s="135">
        <v>0</v>
      </c>
      <c r="G840" s="197">
        <v>875000</v>
      </c>
      <c r="H840" s="312">
        <f>G840/D840*100</f>
        <v>25</v>
      </c>
      <c r="I840" s="197">
        <f>G840</f>
        <v>875000</v>
      </c>
      <c r="J840" s="314">
        <f t="shared" ref="J840:J841" si="253">I840/D840*100</f>
        <v>25</v>
      </c>
      <c r="K840" s="339">
        <f>5/12</f>
        <v>0.41666666666666669</v>
      </c>
      <c r="L840" s="311">
        <f>J840</f>
        <v>25</v>
      </c>
      <c r="M840" s="132"/>
    </row>
    <row r="841" spans="1:13">
      <c r="A841" s="63"/>
      <c r="B841" s="83"/>
      <c r="C841" s="65" t="s">
        <v>45</v>
      </c>
      <c r="D841" s="66">
        <f>SUM(D840:D840)</f>
        <v>3500000</v>
      </c>
      <c r="E841" s="66">
        <f t="shared" ref="E841:F841" si="254">SUM(E838:E840)</f>
        <v>0</v>
      </c>
      <c r="F841" s="66">
        <f t="shared" si="254"/>
        <v>0</v>
      </c>
      <c r="G841" s="122">
        <f>SUM(G840)</f>
        <v>875000</v>
      </c>
      <c r="H841" s="312">
        <f>G841/D841*100</f>
        <v>25</v>
      </c>
      <c r="I841" s="122">
        <f>SUM(I840)</f>
        <v>875000</v>
      </c>
      <c r="J841" s="314">
        <f t="shared" si="253"/>
        <v>25</v>
      </c>
      <c r="K841" s="333">
        <f>SUM(K840)</f>
        <v>0.41666666666666669</v>
      </c>
      <c r="L841" s="302">
        <f>SUM(L840)</f>
        <v>25</v>
      </c>
      <c r="M841" s="66"/>
    </row>
    <row r="842" spans="1:13">
      <c r="A842" s="44">
        <v>17</v>
      </c>
      <c r="B842" s="822" t="s">
        <v>56</v>
      </c>
      <c r="C842" s="823"/>
      <c r="D842" s="57"/>
      <c r="E842" s="119"/>
      <c r="F842" s="131"/>
      <c r="G842" s="119"/>
      <c r="H842" s="152"/>
      <c r="I842" s="119"/>
      <c r="J842" s="152"/>
      <c r="K842" s="152"/>
      <c r="L842" s="152"/>
      <c r="M842" s="131"/>
    </row>
    <row r="843" spans="1:13">
      <c r="A843" s="44"/>
      <c r="B843" s="47">
        <v>19</v>
      </c>
      <c r="C843" s="824" t="s">
        <v>91</v>
      </c>
      <c r="E843" s="120"/>
      <c r="F843" s="132"/>
      <c r="G843" s="119"/>
      <c r="H843" s="59"/>
      <c r="I843" s="119"/>
      <c r="J843" s="59"/>
      <c r="K843" s="59"/>
      <c r="L843" s="59"/>
      <c r="M843" s="132"/>
    </row>
    <row r="844" spans="1:13">
      <c r="A844" s="44"/>
      <c r="B844" s="163"/>
      <c r="C844" s="825"/>
      <c r="D844" s="60">
        <v>25000000</v>
      </c>
      <c r="E844" s="164">
        <v>0</v>
      </c>
      <c r="F844" s="165">
        <v>0</v>
      </c>
      <c r="G844" s="330">
        <v>5980000</v>
      </c>
      <c r="H844" s="312">
        <f>G844/D844*100</f>
        <v>23.919999999999998</v>
      </c>
      <c r="I844" s="197">
        <f>G844</f>
        <v>5980000</v>
      </c>
      <c r="J844" s="314">
        <f t="shared" ref="J844" si="255">I844/D844*100</f>
        <v>23.919999999999998</v>
      </c>
      <c r="K844" s="339">
        <f>5/12</f>
        <v>0.41666666666666669</v>
      </c>
      <c r="L844" s="314">
        <f>J844</f>
        <v>23.919999999999998</v>
      </c>
      <c r="M844" s="165"/>
    </row>
    <row r="845" spans="1:13">
      <c r="A845" s="63"/>
      <c r="B845" s="96"/>
      <c r="C845" s="65" t="s">
        <v>45</v>
      </c>
      <c r="D845" s="66">
        <f>SUM(D844:D844)</f>
        <v>25000000</v>
      </c>
      <c r="E845" s="122">
        <f>SUM(E843:E843)</f>
        <v>0</v>
      </c>
      <c r="F845" s="137">
        <f>SUM(F843:F843)</f>
        <v>0</v>
      </c>
      <c r="G845" s="122">
        <f>SUM(G844)</f>
        <v>5980000</v>
      </c>
      <c r="H845" s="302">
        <f>SUM(H844)</f>
        <v>23.919999999999998</v>
      </c>
      <c r="I845" s="122">
        <f>SUM(I844)</f>
        <v>5980000</v>
      </c>
      <c r="J845" s="324">
        <f>SUM(J844)</f>
        <v>23.919999999999998</v>
      </c>
      <c r="K845" s="333">
        <f>SUM(K844)</f>
        <v>0.41666666666666669</v>
      </c>
      <c r="L845" s="340">
        <f>J845</f>
        <v>23.919999999999998</v>
      </c>
      <c r="M845" s="137"/>
    </row>
    <row r="846" spans="1:13">
      <c r="A846" s="44">
        <v>19</v>
      </c>
      <c r="B846" s="826" t="s">
        <v>57</v>
      </c>
      <c r="C846" s="827"/>
      <c r="D846" s="57"/>
      <c r="E846" s="119"/>
      <c r="F846" s="131"/>
      <c r="G846" s="119"/>
      <c r="H846" s="152"/>
      <c r="I846" s="119"/>
      <c r="J846" s="152"/>
      <c r="K846" s="152"/>
      <c r="L846" s="152"/>
      <c r="M846" s="131"/>
    </row>
    <row r="847" spans="1:13">
      <c r="A847" s="44"/>
      <c r="B847" s="47" t="s">
        <v>26</v>
      </c>
      <c r="C847" s="48" t="s">
        <v>58</v>
      </c>
      <c r="D847" s="60">
        <v>15000000</v>
      </c>
      <c r="E847" s="120">
        <v>0</v>
      </c>
      <c r="F847" s="132">
        <v>0</v>
      </c>
      <c r="G847" s="197">
        <v>15000000</v>
      </c>
      <c r="H847" s="59">
        <f>G847/D847*100</f>
        <v>100</v>
      </c>
      <c r="I847" s="197">
        <f>G847</f>
        <v>15000000</v>
      </c>
      <c r="J847" s="301">
        <f>I847/D847*100</f>
        <v>100</v>
      </c>
      <c r="K847" s="339">
        <f>5/12</f>
        <v>0.41666666666666669</v>
      </c>
      <c r="L847" s="311">
        <f>J847</f>
        <v>100</v>
      </c>
      <c r="M847" s="132"/>
    </row>
    <row r="848" spans="1:13">
      <c r="A848" s="183"/>
      <c r="B848" s="64"/>
      <c r="C848" s="65" t="s">
        <v>45</v>
      </c>
      <c r="D848" s="66">
        <f>SUM(D847)</f>
        <v>15000000</v>
      </c>
      <c r="E848" s="122">
        <f>SUM(E845:E845)</f>
        <v>0</v>
      </c>
      <c r="F848" s="66">
        <f>SUM(F845:F845)</f>
        <v>0</v>
      </c>
      <c r="G848" s="122">
        <f>G847</f>
        <v>15000000</v>
      </c>
      <c r="H848" s="66">
        <f>G848/D848*100</f>
        <v>100</v>
      </c>
      <c r="I848" s="122">
        <f>I847</f>
        <v>15000000</v>
      </c>
      <c r="J848" s="324">
        <f>I848/D848*100</f>
        <v>100</v>
      </c>
      <c r="K848" s="333">
        <f>SUM(K847)</f>
        <v>0.41666666666666669</v>
      </c>
      <c r="L848" s="302">
        <f>SUM(L847)</f>
        <v>100</v>
      </c>
      <c r="M848" s="66"/>
    </row>
    <row r="849" spans="1:13">
      <c r="A849" s="44">
        <v>32</v>
      </c>
      <c r="B849" s="97" t="s">
        <v>59</v>
      </c>
      <c r="C849" s="98"/>
      <c r="D849" s="57"/>
      <c r="E849" s="119"/>
      <c r="F849" s="131"/>
      <c r="G849" s="119"/>
      <c r="H849" s="152"/>
      <c r="I849" s="119"/>
      <c r="J849" s="152"/>
      <c r="K849" s="152"/>
      <c r="L849" s="152"/>
      <c r="M849" s="131"/>
    </row>
    <row r="850" spans="1:13">
      <c r="A850" s="44"/>
      <c r="B850" s="47" t="s">
        <v>26</v>
      </c>
      <c r="C850" s="58" t="s">
        <v>60</v>
      </c>
      <c r="D850" s="60">
        <v>15000000</v>
      </c>
      <c r="E850" s="120">
        <v>0</v>
      </c>
      <c r="F850" s="132">
        <v>0</v>
      </c>
      <c r="G850" s="197">
        <f>750000+225000</f>
        <v>975000</v>
      </c>
      <c r="H850" s="301">
        <f>G850/D850*100</f>
        <v>6.5</v>
      </c>
      <c r="I850" s="192">
        <f>G850</f>
        <v>975000</v>
      </c>
      <c r="J850" s="301">
        <f>I850/D850*100</f>
        <v>6.5</v>
      </c>
      <c r="K850" s="339">
        <f>5/12</f>
        <v>0.41666666666666669</v>
      </c>
      <c r="L850" s="311">
        <f>J850</f>
        <v>6.5</v>
      </c>
      <c r="M850" s="132"/>
    </row>
    <row r="851" spans="1:13">
      <c r="A851" s="63"/>
      <c r="B851" s="64"/>
      <c r="C851" s="65" t="s">
        <v>45</v>
      </c>
      <c r="D851" s="66">
        <f>SUM(D850)</f>
        <v>15000000</v>
      </c>
      <c r="E851" s="122">
        <f>SUM(E850:E850)</f>
        <v>0</v>
      </c>
      <c r="F851" s="66">
        <f>SUM(F850:F850)</f>
        <v>0</v>
      </c>
      <c r="G851" s="122">
        <f>G850</f>
        <v>975000</v>
      </c>
      <c r="H851" s="302">
        <f>G851/D851*100</f>
        <v>6.5</v>
      </c>
      <c r="I851" s="122">
        <f>I850</f>
        <v>975000</v>
      </c>
      <c r="J851" s="302">
        <f>I851/D851*100</f>
        <v>6.5</v>
      </c>
      <c r="K851" s="333">
        <f>SUM(K850:K850)</f>
        <v>0.41666666666666669</v>
      </c>
      <c r="L851" s="302">
        <f>SUM(L850:L850)</f>
        <v>6.5</v>
      </c>
      <c r="M851" s="66"/>
    </row>
    <row r="852" spans="1:13">
      <c r="A852" s="99">
        <v>15</v>
      </c>
      <c r="B852" s="100" t="s">
        <v>77</v>
      </c>
      <c r="C852" s="540"/>
      <c r="D852" s="70"/>
      <c r="E852" s="123"/>
      <c r="F852" s="134"/>
      <c r="G852" s="123"/>
      <c r="H852" s="156"/>
      <c r="I852" s="123"/>
      <c r="J852" s="144"/>
      <c r="K852" s="156"/>
      <c r="L852" s="156"/>
      <c r="M852" s="134"/>
    </row>
    <row r="853" spans="1:13">
      <c r="A853" s="84"/>
      <c r="B853" s="101" t="s">
        <v>78</v>
      </c>
      <c r="C853" s="48"/>
      <c r="D853" s="102"/>
      <c r="E853" s="119"/>
      <c r="F853" s="131"/>
      <c r="G853" s="119"/>
      <c r="H853" s="152"/>
      <c r="I853" s="119"/>
      <c r="J853" s="59"/>
      <c r="K853" s="152"/>
      <c r="L853" s="152"/>
      <c r="M853" s="131"/>
    </row>
    <row r="854" spans="1:13">
      <c r="A854" s="44"/>
      <c r="B854" s="47" t="s">
        <v>26</v>
      </c>
      <c r="C854" s="48" t="s">
        <v>79</v>
      </c>
      <c r="D854" s="60">
        <v>5000000</v>
      </c>
      <c r="E854" s="120">
        <v>0</v>
      </c>
      <c r="F854" s="132">
        <v>0</v>
      </c>
      <c r="G854" s="199" t="s">
        <v>132</v>
      </c>
      <c r="H854" s="59" t="s">
        <v>132</v>
      </c>
      <c r="I854" s="199" t="s">
        <v>132</v>
      </c>
      <c r="J854" s="59" t="s">
        <v>132</v>
      </c>
      <c r="K854" s="339">
        <f>5/12</f>
        <v>0.41666666666666669</v>
      </c>
      <c r="L854" s="59">
        <v>0</v>
      </c>
      <c r="M854" s="132"/>
    </row>
    <row r="855" spans="1:13">
      <c r="A855" s="89"/>
      <c r="B855" s="61" t="s">
        <v>80</v>
      </c>
      <c r="C855" s="103" t="s">
        <v>104</v>
      </c>
      <c r="D855" s="91">
        <v>15000000</v>
      </c>
      <c r="E855" s="127">
        <v>0</v>
      </c>
      <c r="F855" s="138">
        <v>0</v>
      </c>
      <c r="G855" s="197">
        <v>15000000</v>
      </c>
      <c r="H855" s="59">
        <f>G855/D855*100</f>
        <v>100</v>
      </c>
      <c r="I855" s="197">
        <f>G855</f>
        <v>15000000</v>
      </c>
      <c r="J855" s="301">
        <f>I855/D855*100</f>
        <v>100</v>
      </c>
      <c r="K855" s="355">
        <f>5/12</f>
        <v>0.41666666666666669</v>
      </c>
      <c r="L855" s="157">
        <v>0</v>
      </c>
      <c r="M855" s="136"/>
    </row>
    <row r="856" spans="1:13">
      <c r="A856" s="93"/>
      <c r="B856" s="83"/>
      <c r="C856" s="65" t="s">
        <v>45</v>
      </c>
      <c r="D856" s="66">
        <f>SUM(D854:D855)</f>
        <v>20000000</v>
      </c>
      <c r="E856" s="66">
        <f>SUM(E854:E855)</f>
        <v>0</v>
      </c>
      <c r="F856" s="66">
        <f t="shared" ref="F856" si="256">SUM(F854:F855)</f>
        <v>0</v>
      </c>
      <c r="G856" s="122">
        <f>SUM(G855)</f>
        <v>15000000</v>
      </c>
      <c r="H856" s="302">
        <f>G856/D856*100</f>
        <v>75</v>
      </c>
      <c r="I856" s="197">
        <f>SUM(I855)</f>
        <v>15000000</v>
      </c>
      <c r="J856" s="302">
        <f>I856/D856*100</f>
        <v>75</v>
      </c>
      <c r="K856" s="350">
        <f>5/12</f>
        <v>0.41666666666666669</v>
      </c>
      <c r="L856" s="66">
        <f t="shared" ref="L856" si="257">SUM(L854:L855)</f>
        <v>0</v>
      </c>
      <c r="M856" s="66"/>
    </row>
    <row r="857" spans="1:13">
      <c r="A857" s="84">
        <v>18</v>
      </c>
      <c r="B857" s="75" t="s">
        <v>82</v>
      </c>
      <c r="C857" s="76"/>
      <c r="D857" s="57"/>
      <c r="E857" s="119"/>
      <c r="F857" s="131"/>
      <c r="G857" s="119"/>
      <c r="H857" s="152"/>
      <c r="I857" s="119"/>
      <c r="J857" s="152"/>
      <c r="K857" s="152"/>
      <c r="L857" s="152"/>
      <c r="M857" s="131"/>
    </row>
    <row r="858" spans="1:13" ht="26.25">
      <c r="A858" s="84"/>
      <c r="B858" s="94" t="s">
        <v>29</v>
      </c>
      <c r="C858" s="48" t="s">
        <v>92</v>
      </c>
      <c r="D858" s="60">
        <v>7500000</v>
      </c>
      <c r="E858" s="120">
        <v>0</v>
      </c>
      <c r="F858" s="132">
        <v>0</v>
      </c>
      <c r="G858" s="199">
        <v>7500000</v>
      </c>
      <c r="H858" s="301">
        <f>G858/D858*100</f>
        <v>100</v>
      </c>
      <c r="I858" s="192">
        <f>G858</f>
        <v>7500000</v>
      </c>
      <c r="J858" s="301">
        <f t="shared" ref="J858" si="258">I858/D858*100</f>
        <v>100</v>
      </c>
      <c r="K858" s="339">
        <f>5/12</f>
        <v>0.41666666666666669</v>
      </c>
      <c r="L858" s="311">
        <f>J858</f>
        <v>100</v>
      </c>
      <c r="M858" s="131"/>
    </row>
    <row r="859" spans="1:13" ht="26.25">
      <c r="A859" s="84"/>
      <c r="B859" s="94" t="s">
        <v>83</v>
      </c>
      <c r="C859" s="48" t="s">
        <v>93</v>
      </c>
      <c r="D859" s="62">
        <v>10000000</v>
      </c>
      <c r="E859" s="121">
        <v>0</v>
      </c>
      <c r="F859" s="133">
        <v>0</v>
      </c>
      <c r="G859" s="200">
        <v>10000000</v>
      </c>
      <c r="H859" s="301">
        <f>G859/D859*100</f>
        <v>100</v>
      </c>
      <c r="I859" s="200">
        <f>G859</f>
        <v>10000000</v>
      </c>
      <c r="J859" s="301">
        <f>I859/D859*100</f>
        <v>100</v>
      </c>
      <c r="K859" s="355">
        <f>5/12</f>
        <v>0.41666666666666669</v>
      </c>
      <c r="L859" s="311">
        <f>J859</f>
        <v>100</v>
      </c>
      <c r="M859" s="131"/>
    </row>
    <row r="860" spans="1:13">
      <c r="A860" s="93"/>
      <c r="B860" s="64"/>
      <c r="C860" s="65" t="s">
        <v>45</v>
      </c>
      <c r="D860" s="66">
        <f>SUM(D858:D859)</f>
        <v>17500000</v>
      </c>
      <c r="E860" s="66">
        <f t="shared" ref="E860:F860" si="259">SUM(E858:E859)</f>
        <v>0</v>
      </c>
      <c r="F860" s="66">
        <f t="shared" si="259"/>
        <v>0</v>
      </c>
      <c r="G860" s="122">
        <f>SUM(G858:G859)</f>
        <v>17500000</v>
      </c>
      <c r="H860" s="302">
        <f>G860/D860*100</f>
        <v>100</v>
      </c>
      <c r="I860" s="122">
        <f t="shared" ref="I860" si="260">SUM(I858:I859)</f>
        <v>17500000</v>
      </c>
      <c r="J860" s="302">
        <f>I860/D860*100</f>
        <v>100</v>
      </c>
      <c r="K860" s="350">
        <f>5/12</f>
        <v>0.41666666666666669</v>
      </c>
      <c r="L860" s="302">
        <f>SUM(L859:L859)</f>
        <v>100</v>
      </c>
      <c r="M860" s="66"/>
    </row>
    <row r="861" spans="1:13">
      <c r="A861" s="99">
        <v>26</v>
      </c>
      <c r="B861" s="104" t="s">
        <v>105</v>
      </c>
      <c r="C861" s="105"/>
      <c r="D861" s="57"/>
      <c r="E861" s="119"/>
      <c r="F861" s="131"/>
      <c r="G861" s="119"/>
      <c r="H861" s="152"/>
      <c r="I861" s="119"/>
      <c r="J861" s="152"/>
      <c r="K861" s="152"/>
      <c r="L861" s="152"/>
      <c r="M861" s="131"/>
    </row>
    <row r="862" spans="1:13">
      <c r="A862" s="44"/>
      <c r="B862" s="47" t="s">
        <v>84</v>
      </c>
      <c r="C862" s="48" t="s">
        <v>106</v>
      </c>
      <c r="D862" s="60">
        <v>5000000</v>
      </c>
      <c r="E862" s="120" t="s">
        <v>132</v>
      </c>
      <c r="F862" s="132">
        <v>0</v>
      </c>
      <c r="G862" s="120" t="s">
        <v>132</v>
      </c>
      <c r="H862" s="59" t="s">
        <v>132</v>
      </c>
      <c r="I862" s="120">
        <v>0</v>
      </c>
      <c r="J862" s="59" t="s">
        <v>132</v>
      </c>
      <c r="K862" s="157">
        <v>0</v>
      </c>
      <c r="L862" s="59">
        <v>0</v>
      </c>
      <c r="M862" s="132"/>
    </row>
    <row r="863" spans="1:13">
      <c r="A863" s="63"/>
      <c r="B863" s="64"/>
      <c r="C863" s="65" t="s">
        <v>45</v>
      </c>
      <c r="D863" s="66">
        <f>SUM(D862)</f>
        <v>5000000</v>
      </c>
      <c r="E863" s="66">
        <v>0</v>
      </c>
      <c r="F863" s="66">
        <f t="shared" ref="F863" si="261">SUM(F860:F862)</f>
        <v>0</v>
      </c>
      <c r="G863" s="122" t="s">
        <v>132</v>
      </c>
      <c r="H863" s="66" t="s">
        <v>132</v>
      </c>
      <c r="I863" s="122" t="s">
        <v>132</v>
      </c>
      <c r="J863" s="66" t="s">
        <v>132</v>
      </c>
      <c r="K863" s="66">
        <f>SUM(K862)</f>
        <v>0</v>
      </c>
      <c r="L863" s="66">
        <v>0</v>
      </c>
      <c r="M863" s="66"/>
    </row>
    <row r="864" spans="1:13">
      <c r="A864" s="99">
        <v>16</v>
      </c>
      <c r="B864" s="104" t="s">
        <v>123</v>
      </c>
      <c r="C864" s="105"/>
      <c r="D864" s="57"/>
      <c r="E864" s="119"/>
      <c r="F864" s="131"/>
      <c r="G864" s="119"/>
      <c r="H864" s="152"/>
      <c r="I864" s="119"/>
      <c r="J864" s="152"/>
      <c r="K864" s="152"/>
      <c r="L864" s="152"/>
      <c r="M864" s="131"/>
    </row>
    <row r="865" spans="1:13">
      <c r="A865" s="84"/>
      <c r="B865" s="185" t="s">
        <v>124</v>
      </c>
      <c r="C865" s="186"/>
      <c r="D865" s="182"/>
      <c r="E865" s="124"/>
      <c r="F865" s="131"/>
      <c r="G865" s="131"/>
      <c r="H865" s="152"/>
      <c r="I865" s="131"/>
      <c r="J865" s="152"/>
      <c r="K865" s="152"/>
      <c r="L865" s="152"/>
      <c r="M865" s="152"/>
    </row>
    <row r="866" spans="1:13" ht="26.25">
      <c r="A866" s="44"/>
      <c r="B866" s="282" t="s">
        <v>46</v>
      </c>
      <c r="C866" s="50" t="s">
        <v>217</v>
      </c>
      <c r="D866" s="60">
        <v>27000000</v>
      </c>
      <c r="E866" s="125">
        <v>0</v>
      </c>
      <c r="F866" s="135">
        <v>0</v>
      </c>
      <c r="G866" s="124">
        <v>0</v>
      </c>
      <c r="H866" s="59" t="s">
        <v>132</v>
      </c>
      <c r="I866" s="124">
        <v>0</v>
      </c>
      <c r="J866" s="59" t="s">
        <v>132</v>
      </c>
      <c r="K866" s="59">
        <v>0</v>
      </c>
      <c r="L866" s="59">
        <v>0</v>
      </c>
      <c r="M866" s="59"/>
    </row>
    <row r="867" spans="1:13">
      <c r="A867" s="44"/>
      <c r="B867" s="163" t="s">
        <v>111</v>
      </c>
      <c r="C867" s="204" t="s">
        <v>81</v>
      </c>
      <c r="D867" s="205">
        <v>3000000</v>
      </c>
      <c r="E867" s="125">
        <v>0</v>
      </c>
      <c r="F867" s="135">
        <v>0</v>
      </c>
      <c r="G867" s="201" t="s">
        <v>132</v>
      </c>
      <c r="H867" s="187" t="s">
        <v>132</v>
      </c>
      <c r="I867" s="201" t="s">
        <v>132</v>
      </c>
      <c r="J867" s="187" t="s">
        <v>132</v>
      </c>
      <c r="K867" s="212">
        <v>0</v>
      </c>
      <c r="L867" s="187"/>
      <c r="M867" s="188"/>
    </row>
    <row r="868" spans="1:13">
      <c r="A868" s="63"/>
      <c r="B868" s="64"/>
      <c r="C868" s="65" t="s">
        <v>45</v>
      </c>
      <c r="D868" s="66">
        <f>SUM(D866:D867)</f>
        <v>30000000</v>
      </c>
      <c r="E868" s="66">
        <f>SUM(E866:E867)</f>
        <v>0</v>
      </c>
      <c r="F868" s="66">
        <f>SUM(F866:F867)</f>
        <v>0</v>
      </c>
      <c r="G868" s="122" t="s">
        <v>132</v>
      </c>
      <c r="H868" s="66" t="s">
        <v>132</v>
      </c>
      <c r="I868" s="122">
        <f>SUM(I866:I867)</f>
        <v>0</v>
      </c>
      <c r="J868" s="66" t="s">
        <v>132</v>
      </c>
      <c r="K868" s="66">
        <f>SUM(K866:K867)</f>
        <v>0</v>
      </c>
      <c r="L868" s="66">
        <f>SUM(L866:L867)</f>
        <v>0</v>
      </c>
      <c r="M868" s="66"/>
    </row>
    <row r="869" spans="1:13">
      <c r="A869" s="99">
        <v>17</v>
      </c>
      <c r="B869" s="104" t="s">
        <v>127</v>
      </c>
      <c r="C869" s="105"/>
      <c r="D869" s="57"/>
      <c r="E869" s="119"/>
      <c r="F869" s="131"/>
      <c r="G869" s="119"/>
      <c r="H869" s="152"/>
      <c r="I869" s="119"/>
      <c r="J869" s="152"/>
      <c r="K869" s="152"/>
      <c r="L869" s="152"/>
      <c r="M869" s="131"/>
    </row>
    <row r="870" spans="1:13" ht="26.25">
      <c r="A870" s="44"/>
      <c r="B870" s="47" t="s">
        <v>84</v>
      </c>
      <c r="C870" s="48" t="s">
        <v>128</v>
      </c>
      <c r="D870" s="60">
        <v>10000000</v>
      </c>
      <c r="E870" s="120">
        <v>0</v>
      </c>
      <c r="F870" s="132">
        <v>0</v>
      </c>
      <c r="G870" s="120" t="s">
        <v>132</v>
      </c>
      <c r="H870" s="59" t="s">
        <v>132</v>
      </c>
      <c r="I870" s="120">
        <v>0</v>
      </c>
      <c r="J870" s="59" t="s">
        <v>132</v>
      </c>
      <c r="K870" s="157">
        <v>0</v>
      </c>
      <c r="L870" s="59">
        <v>0</v>
      </c>
      <c r="M870" s="132"/>
    </row>
    <row r="871" spans="1:13">
      <c r="A871" s="63"/>
      <c r="B871" s="64"/>
      <c r="C871" s="65" t="s">
        <v>45</v>
      </c>
      <c r="D871" s="66">
        <f>SUM(D870)</f>
        <v>10000000</v>
      </c>
      <c r="E871" s="66">
        <f t="shared" ref="E871:F871" si="262">SUM(E868:E870)</f>
        <v>0</v>
      </c>
      <c r="F871" s="66">
        <f t="shared" si="262"/>
        <v>0</v>
      </c>
      <c r="G871" s="122" t="s">
        <v>132</v>
      </c>
      <c r="H871" s="66" t="s">
        <v>132</v>
      </c>
      <c r="I871" s="122" t="s">
        <v>132</v>
      </c>
      <c r="J871" s="66" t="s">
        <v>132</v>
      </c>
      <c r="K871" s="66">
        <f>SUM(K870)</f>
        <v>0</v>
      </c>
      <c r="L871" s="66">
        <v>0</v>
      </c>
      <c r="M871" s="66"/>
    </row>
    <row r="872" spans="1:13">
      <c r="A872" s="44">
        <v>18</v>
      </c>
      <c r="B872" s="104" t="s">
        <v>218</v>
      </c>
      <c r="C872" s="105"/>
      <c r="D872" s="70"/>
      <c r="E872" s="70"/>
      <c r="F872" s="70"/>
      <c r="G872" s="287"/>
      <c r="H872" s="70"/>
      <c r="I872" s="287"/>
      <c r="J872" s="70"/>
      <c r="K872" s="70"/>
      <c r="L872" s="70"/>
      <c r="M872" s="70"/>
    </row>
    <row r="873" spans="1:13" ht="25.5">
      <c r="A873" s="44"/>
      <c r="B873" s="283" t="s">
        <v>83</v>
      </c>
      <c r="C873" s="284" t="s">
        <v>219</v>
      </c>
      <c r="D873" s="288">
        <v>50000000</v>
      </c>
      <c r="E873" s="285">
        <v>0</v>
      </c>
      <c r="F873" s="285">
        <v>0</v>
      </c>
      <c r="G873" s="286">
        <v>0</v>
      </c>
      <c r="H873" s="285">
        <v>0</v>
      </c>
      <c r="I873" s="286">
        <v>0</v>
      </c>
      <c r="J873" s="285">
        <v>0</v>
      </c>
      <c r="K873" s="157">
        <v>0</v>
      </c>
      <c r="L873" s="285">
        <v>0</v>
      </c>
      <c r="M873" s="285"/>
    </row>
    <row r="874" spans="1:13">
      <c r="A874" s="63"/>
      <c r="B874" s="64"/>
      <c r="C874" s="65" t="s">
        <v>45</v>
      </c>
      <c r="D874" s="66">
        <f>SUM(D873)</f>
        <v>50000000</v>
      </c>
      <c r="E874" s="66">
        <v>0</v>
      </c>
      <c r="F874" s="66">
        <v>0</v>
      </c>
      <c r="G874" s="122">
        <v>0</v>
      </c>
      <c r="H874" s="66">
        <v>0</v>
      </c>
      <c r="I874" s="122">
        <v>0</v>
      </c>
      <c r="J874" s="66">
        <v>0</v>
      </c>
      <c r="K874" s="66">
        <f>SUM(K873)</f>
        <v>0</v>
      </c>
      <c r="L874" s="66">
        <v>0</v>
      </c>
      <c r="M874" s="66"/>
    </row>
    <row r="875" spans="1:13">
      <c r="A875" s="44">
        <v>24</v>
      </c>
      <c r="B875" s="104" t="s">
        <v>221</v>
      </c>
      <c r="C875" s="105"/>
      <c r="D875" s="70"/>
      <c r="E875" s="70"/>
      <c r="F875" s="70"/>
      <c r="G875" s="287"/>
      <c r="H875" s="70"/>
      <c r="I875" s="287"/>
      <c r="J875" s="70"/>
      <c r="K875" s="70"/>
      <c r="L875" s="70"/>
      <c r="M875" s="70"/>
    </row>
    <row r="876" spans="1:13">
      <c r="A876" s="44"/>
      <c r="B876" s="283" t="s">
        <v>83</v>
      </c>
      <c r="C876" s="284" t="s">
        <v>222</v>
      </c>
      <c r="D876" s="288">
        <v>50000000</v>
      </c>
      <c r="E876" s="285">
        <v>0</v>
      </c>
      <c r="F876" s="285">
        <v>0</v>
      </c>
      <c r="G876" s="286">
        <v>0</v>
      </c>
      <c r="H876" s="285">
        <v>0</v>
      </c>
      <c r="I876" s="286">
        <v>0</v>
      </c>
      <c r="J876" s="285">
        <v>0</v>
      </c>
      <c r="K876" s="157">
        <v>0</v>
      </c>
      <c r="L876" s="285">
        <v>0</v>
      </c>
      <c r="M876" s="285"/>
    </row>
    <row r="877" spans="1:13">
      <c r="A877" s="63"/>
      <c r="B877" s="64"/>
      <c r="C877" s="65" t="s">
        <v>45</v>
      </c>
      <c r="D877" s="66">
        <f>SUM(D876)</f>
        <v>50000000</v>
      </c>
      <c r="E877" s="66">
        <v>0</v>
      </c>
      <c r="F877" s="66">
        <v>0</v>
      </c>
      <c r="G877" s="122">
        <v>0</v>
      </c>
      <c r="H877" s="66">
        <v>0</v>
      </c>
      <c r="I877" s="122">
        <v>0</v>
      </c>
      <c r="J877" s="66">
        <v>0</v>
      </c>
      <c r="K877" s="66">
        <f>SUM(K876)</f>
        <v>0</v>
      </c>
      <c r="L877" s="66">
        <v>0</v>
      </c>
      <c r="M877" s="66"/>
    </row>
    <row r="878" spans="1:13" ht="15.75" thickBot="1">
      <c r="A878" s="166"/>
      <c r="B878" s="167" t="s">
        <v>85</v>
      </c>
      <c r="C878" s="106"/>
      <c r="D878" s="107">
        <f>D772+D769</f>
        <v>3251325000</v>
      </c>
      <c r="E878" s="107">
        <f>E772+E769</f>
        <v>0</v>
      </c>
      <c r="F878" s="107">
        <f>F772+F769</f>
        <v>0</v>
      </c>
      <c r="G878" s="107">
        <f>G769+G772</f>
        <v>1358901461</v>
      </c>
      <c r="H878" s="213">
        <f>G878/D878*100</f>
        <v>41.795313018538593</v>
      </c>
      <c r="I878" s="107">
        <f>I772+I769</f>
        <v>1358901461</v>
      </c>
      <c r="J878" s="213">
        <f>I878/D878*100</f>
        <v>41.795313018538593</v>
      </c>
      <c r="K878" s="425">
        <f>5/12</f>
        <v>0.41666666666666669</v>
      </c>
      <c r="L878" s="213">
        <f>J878</f>
        <v>41.795313018538593</v>
      </c>
      <c r="M878" s="158"/>
    </row>
    <row r="879" spans="1:13" ht="15.75" thickTop="1">
      <c r="A879" s="342"/>
      <c r="B879" s="343"/>
      <c r="C879" s="344"/>
      <c r="D879" s="345"/>
      <c r="E879" s="345"/>
      <c r="F879" s="345"/>
      <c r="G879" s="345"/>
      <c r="H879" s="346"/>
      <c r="I879" s="345"/>
      <c r="J879" s="346"/>
      <c r="K879" s="347"/>
      <c r="L879" s="346"/>
      <c r="M879" s="348"/>
    </row>
    <row r="880" spans="1:13">
      <c r="A880" s="168"/>
      <c r="B880" s="169"/>
      <c r="C880" s="170"/>
      <c r="D880" s="171"/>
      <c r="E880" s="108"/>
      <c r="H880" s="128"/>
      <c r="I880" s="159" t="s">
        <v>488</v>
      </c>
      <c r="J880" s="128"/>
      <c r="L880" s="128"/>
      <c r="M880" s="128"/>
    </row>
    <row r="881" spans="1:13">
      <c r="A881" s="172"/>
      <c r="B881" s="169"/>
      <c r="C881" s="173"/>
      <c r="D881" s="171"/>
      <c r="E881" s="174"/>
      <c r="H881" s="128"/>
      <c r="I881" s="159" t="s">
        <v>86</v>
      </c>
      <c r="J881" s="128"/>
      <c r="L881" s="128"/>
      <c r="M881" s="128"/>
    </row>
    <row r="882" spans="1:13">
      <c r="A882" s="172"/>
      <c r="B882" s="169"/>
      <c r="C882" s="173"/>
      <c r="D882" s="171"/>
      <c r="E882" s="174"/>
      <c r="H882" s="128"/>
      <c r="I882" s="159"/>
      <c r="J882" s="128"/>
      <c r="L882" s="128"/>
      <c r="M882" s="128"/>
    </row>
    <row r="883" spans="1:13">
      <c r="A883" s="172"/>
      <c r="B883" s="169"/>
      <c r="C883" s="173"/>
      <c r="D883" s="171"/>
      <c r="E883" s="108"/>
      <c r="H883" s="128"/>
      <c r="I883" s="159"/>
      <c r="J883" s="128"/>
      <c r="L883" s="128"/>
      <c r="M883" s="128"/>
    </row>
    <row r="884" spans="1:13">
      <c r="A884" s="175"/>
      <c r="B884" s="176"/>
      <c r="C884" s="177"/>
      <c r="D884" s="171"/>
      <c r="E884" s="108"/>
      <c r="G884" s="128" t="s">
        <v>227</v>
      </c>
      <c r="H884" s="128"/>
      <c r="I884" s="160" t="s">
        <v>120</v>
      </c>
      <c r="J884" s="128"/>
      <c r="L884" s="128"/>
      <c r="M884" s="128"/>
    </row>
    <row r="885" spans="1:13">
      <c r="A885" s="175"/>
      <c r="B885" s="176"/>
      <c r="C885" s="177"/>
      <c r="D885" s="175"/>
      <c r="E885" s="108"/>
      <c r="H885" s="128"/>
      <c r="I885" s="159" t="s">
        <v>108</v>
      </c>
      <c r="J885" s="128"/>
      <c r="L885" s="128"/>
      <c r="M885" s="128"/>
    </row>
    <row r="886" spans="1:13">
      <c r="A886" s="175"/>
      <c r="B886" s="176"/>
      <c r="C886" s="177"/>
      <c r="D886" s="175"/>
      <c r="E886" s="108"/>
      <c r="H886" s="128"/>
      <c r="I886" s="159" t="s">
        <v>121</v>
      </c>
      <c r="J886" s="128"/>
      <c r="L886" s="128"/>
      <c r="M886" s="128"/>
    </row>
    <row r="918" spans="1:13" ht="15.75">
      <c r="A918" s="832" t="s">
        <v>223</v>
      </c>
      <c r="B918" s="832"/>
      <c r="C918" s="832"/>
      <c r="D918" s="832"/>
      <c r="E918" s="832"/>
      <c r="F918" s="832"/>
      <c r="G918" s="832"/>
      <c r="H918" s="832"/>
      <c r="I918" s="832"/>
      <c r="J918" s="832"/>
      <c r="K918" s="832"/>
      <c r="L918" s="832"/>
      <c r="M918" s="832"/>
    </row>
    <row r="919" spans="1:13" ht="15.75">
      <c r="A919" s="832" t="s">
        <v>224</v>
      </c>
      <c r="B919" s="832"/>
      <c r="C919" s="832"/>
      <c r="D919" s="832"/>
      <c r="E919" s="832"/>
      <c r="F919" s="832"/>
      <c r="G919" s="832"/>
      <c r="H919" s="832"/>
      <c r="I919" s="832"/>
      <c r="J919" s="832"/>
      <c r="K919" s="832"/>
      <c r="L919" s="832"/>
      <c r="M919" s="832"/>
    </row>
    <row r="920" spans="1:13" ht="15.75">
      <c r="A920" s="541"/>
      <c r="B920" s="541"/>
      <c r="C920" s="541"/>
      <c r="D920" s="541"/>
      <c r="E920" s="541"/>
      <c r="F920" s="541"/>
      <c r="G920" s="303"/>
      <c r="H920" s="541"/>
      <c r="I920" s="541"/>
      <c r="J920" s="541"/>
      <c r="K920" s="303"/>
      <c r="L920" s="541"/>
      <c r="M920" s="541"/>
    </row>
    <row r="921" spans="1:13" ht="16.5">
      <c r="A921" s="1" t="s">
        <v>213</v>
      </c>
      <c r="B921" s="2"/>
      <c r="C921" s="3" t="s">
        <v>2</v>
      </c>
      <c r="E921" s="108"/>
      <c r="G921" s="304"/>
      <c r="H921" s="4"/>
      <c r="I921" s="5"/>
      <c r="J921" s="4"/>
      <c r="M921" s="4"/>
    </row>
    <row r="922" spans="1:13" ht="17.25" thickBot="1">
      <c r="A922" s="14" t="s">
        <v>225</v>
      </c>
      <c r="B922" s="14"/>
      <c r="C922" s="292" t="s">
        <v>489</v>
      </c>
      <c r="D922" s="129"/>
      <c r="E922" s="109"/>
      <c r="F922" s="129"/>
      <c r="G922" s="305"/>
      <c r="H922" s="14"/>
      <c r="I922" s="16"/>
      <c r="J922" s="14"/>
      <c r="K922" s="129"/>
      <c r="L922" s="15"/>
      <c r="M922" s="14"/>
    </row>
    <row r="923" spans="1:13" ht="15.75" thickTop="1">
      <c r="A923" s="833" t="s">
        <v>3</v>
      </c>
      <c r="B923" s="836" t="s">
        <v>4</v>
      </c>
      <c r="C923" s="837"/>
      <c r="D923" s="289" t="s">
        <v>5</v>
      </c>
      <c r="E923" s="110" t="s">
        <v>6</v>
      </c>
      <c r="F923" s="130"/>
      <c r="G923" s="842" t="s">
        <v>7</v>
      </c>
      <c r="H923" s="843"/>
      <c r="I923" s="843"/>
      <c r="J923" s="843"/>
      <c r="K923" s="844" t="s">
        <v>8</v>
      </c>
      <c r="L923" s="844"/>
      <c r="M923" s="833" t="s">
        <v>9</v>
      </c>
    </row>
    <row r="924" spans="1:13">
      <c r="A924" s="834"/>
      <c r="B924" s="838"/>
      <c r="C924" s="839"/>
      <c r="D924" s="290" t="s">
        <v>10</v>
      </c>
      <c r="E924" s="111" t="s">
        <v>11</v>
      </c>
      <c r="F924" s="111" t="s">
        <v>12</v>
      </c>
      <c r="G924" s="111" t="s">
        <v>13</v>
      </c>
      <c r="H924" s="845" t="s">
        <v>14</v>
      </c>
      <c r="I924" s="6" t="s">
        <v>15</v>
      </c>
      <c r="J924" s="846" t="s">
        <v>14</v>
      </c>
      <c r="K924" s="321" t="s">
        <v>16</v>
      </c>
      <c r="L924" s="7" t="s">
        <v>17</v>
      </c>
      <c r="M924" s="834"/>
    </row>
    <row r="925" spans="1:13">
      <c r="A925" s="835"/>
      <c r="B925" s="840"/>
      <c r="C925" s="841"/>
      <c r="D925" s="291" t="s">
        <v>18</v>
      </c>
      <c r="E925" s="112" t="s">
        <v>18</v>
      </c>
      <c r="F925" s="112"/>
      <c r="G925" s="306" t="s">
        <v>19</v>
      </c>
      <c r="H925" s="835"/>
      <c r="I925" s="8" t="s">
        <v>19</v>
      </c>
      <c r="J925" s="847"/>
      <c r="K925" s="322" t="s">
        <v>233</v>
      </c>
      <c r="L925" s="9" t="s">
        <v>233</v>
      </c>
      <c r="M925" s="835"/>
    </row>
    <row r="926" spans="1:13" ht="15.75" thickBot="1">
      <c r="A926" s="17">
        <v>1</v>
      </c>
      <c r="B926" s="828">
        <v>2</v>
      </c>
      <c r="C926" s="829"/>
      <c r="D926" s="113">
        <v>3</v>
      </c>
      <c r="E926" s="113">
        <v>4</v>
      </c>
      <c r="F926" s="113">
        <v>5</v>
      </c>
      <c r="G926" s="113">
        <v>6</v>
      </c>
      <c r="H926" s="18">
        <v>7</v>
      </c>
      <c r="I926" s="18">
        <v>8</v>
      </c>
      <c r="J926" s="18">
        <v>9</v>
      </c>
      <c r="K926" s="113">
        <v>10</v>
      </c>
      <c r="L926" s="18">
        <v>11</v>
      </c>
      <c r="M926" s="18">
        <v>12</v>
      </c>
    </row>
    <row r="927" spans="1:13" ht="15.75" thickBot="1">
      <c r="A927" s="35" t="s">
        <v>20</v>
      </c>
      <c r="B927" s="36" t="s">
        <v>21</v>
      </c>
      <c r="C927" s="37"/>
      <c r="D927" s="30">
        <f>D928+D929</f>
        <v>2257113000</v>
      </c>
      <c r="E927" s="30">
        <f>E928</f>
        <v>0</v>
      </c>
      <c r="F927" s="30">
        <v>0</v>
      </c>
      <c r="G927" s="30">
        <f>G928+G929</f>
        <v>1209658857</v>
      </c>
      <c r="H927" s="214">
        <f>G927/D927*100</f>
        <v>53.593189928904764</v>
      </c>
      <c r="I927" s="30">
        <f>G927</f>
        <v>1209658857</v>
      </c>
      <c r="J927" s="217">
        <f>I927/D927*100</f>
        <v>53.593189928904764</v>
      </c>
      <c r="K927" s="332">
        <f>7/12</f>
        <v>0.58333333333333337</v>
      </c>
      <c r="L927" s="215">
        <f>J927</f>
        <v>53.593189928904764</v>
      </c>
      <c r="M927" s="53"/>
    </row>
    <row r="928" spans="1:13" ht="15.75" thickBot="1">
      <c r="A928" s="38" t="s">
        <v>22</v>
      </c>
      <c r="B928" s="39" t="s">
        <v>23</v>
      </c>
      <c r="C928" s="40"/>
      <c r="D928" s="31">
        <v>1872153000</v>
      </c>
      <c r="E928" s="114">
        <v>0</v>
      </c>
      <c r="F928" s="30">
        <v>0</v>
      </c>
      <c r="G928" s="30">
        <v>1009308857</v>
      </c>
      <c r="H928" s="214">
        <f>G928/D928*100</f>
        <v>53.911665179074575</v>
      </c>
      <c r="I928" s="296">
        <f>G928</f>
        <v>1009308857</v>
      </c>
      <c r="J928" s="217">
        <f>I928/D928*100</f>
        <v>53.911665179074575</v>
      </c>
      <c r="K928" s="332">
        <f>7/12</f>
        <v>0.58333333333333337</v>
      </c>
      <c r="L928" s="215">
        <f>J928</f>
        <v>53.911665179074575</v>
      </c>
      <c r="M928" s="146"/>
    </row>
    <row r="929" spans="1:14" ht="15.75" thickBot="1">
      <c r="A929" s="139"/>
      <c r="B929" s="140" t="s">
        <v>107</v>
      </c>
      <c r="C929" s="141"/>
      <c r="D929" s="31">
        <v>384960000</v>
      </c>
      <c r="E929" s="114">
        <v>0</v>
      </c>
      <c r="F929" s="30">
        <v>0</v>
      </c>
      <c r="G929" s="351">
        <v>200350000</v>
      </c>
      <c r="H929" s="214">
        <f>G929/D929*100</f>
        <v>52.04436824605154</v>
      </c>
      <c r="I929" s="296">
        <f>G929</f>
        <v>200350000</v>
      </c>
      <c r="J929" s="217">
        <f>I929/D929*100</f>
        <v>52.04436824605154</v>
      </c>
      <c r="K929" s="332">
        <f>7/12</f>
        <v>0.58333333333333337</v>
      </c>
      <c r="L929" s="215">
        <f>J929</f>
        <v>52.04436824605154</v>
      </c>
      <c r="M929" s="149"/>
    </row>
    <row r="930" spans="1:14" ht="15.75" thickBot="1">
      <c r="A930" s="35" t="s">
        <v>24</v>
      </c>
      <c r="B930" s="36" t="s">
        <v>25</v>
      </c>
      <c r="C930" s="37"/>
      <c r="D930" s="30">
        <f>D947+D957+D960+D964+D967+D970+D976+D979+D983+D986+D990+D993+D996+D999+D1003+D1006+D1009+D1014+D1018+D1021+D1026+D1029+D1032+D1035</f>
        <v>994212000</v>
      </c>
      <c r="E930" s="30">
        <v>0</v>
      </c>
      <c r="F930" s="30">
        <v>0</v>
      </c>
      <c r="G930" s="30">
        <f>G947+G957+G986+G990+G1006+G1009+G996+G999+G1003+G1018+G970+G983+G1014+G967+G964+G993</f>
        <v>570467649</v>
      </c>
      <c r="H930" s="215">
        <f>G930/D930*100</f>
        <v>57.378873821679889</v>
      </c>
      <c r="I930" s="296">
        <f>G930</f>
        <v>570467649</v>
      </c>
      <c r="J930" s="217">
        <f>I930/D930*100</f>
        <v>57.378873821679889</v>
      </c>
      <c r="K930" s="332">
        <f>7/12</f>
        <v>0.58333333333333337</v>
      </c>
      <c r="L930" s="215">
        <f>J930</f>
        <v>57.378873821679889</v>
      </c>
      <c r="M930" s="30"/>
    </row>
    <row r="931" spans="1:14">
      <c r="A931" s="41" t="s">
        <v>26</v>
      </c>
      <c r="B931" s="42" t="s">
        <v>27</v>
      </c>
      <c r="C931" s="43"/>
      <c r="D931" s="32"/>
      <c r="E931" s="115"/>
      <c r="F931" s="32"/>
      <c r="G931" s="150"/>
      <c r="H931" s="151"/>
      <c r="I931" s="191"/>
      <c r="J931" s="150"/>
      <c r="K931" s="32"/>
      <c r="L931" s="32"/>
      <c r="M931" s="32"/>
    </row>
    <row r="932" spans="1:14">
      <c r="A932" s="44"/>
      <c r="B932" s="45" t="s">
        <v>26</v>
      </c>
      <c r="C932" s="46" t="s">
        <v>28</v>
      </c>
      <c r="D932" s="525">
        <v>6000000</v>
      </c>
      <c r="E932" s="116">
        <v>0</v>
      </c>
      <c r="F932" s="131">
        <v>0</v>
      </c>
      <c r="G932" s="192">
        <f>999000+501000+250000+250000+250000</f>
        <v>2250000</v>
      </c>
      <c r="H932" s="299">
        <f>G932/D932*100</f>
        <v>37.5</v>
      </c>
      <c r="I932" s="192">
        <f>G932</f>
        <v>2250000</v>
      </c>
      <c r="J932" s="301">
        <f>H932</f>
        <v>37.5</v>
      </c>
      <c r="K932" s="331">
        <f>7/12</f>
        <v>0.58333333333333337</v>
      </c>
      <c r="L932" s="311">
        <f>J932</f>
        <v>37.5</v>
      </c>
      <c r="M932" s="131"/>
    </row>
    <row r="933" spans="1:14">
      <c r="A933" s="44"/>
      <c r="B933" s="47" t="s">
        <v>29</v>
      </c>
      <c r="C933" s="48" t="s">
        <v>30</v>
      </c>
      <c r="D933" s="34">
        <v>8000000</v>
      </c>
      <c r="E933" s="297">
        <v>0</v>
      </c>
      <c r="F933" s="132">
        <v>0</v>
      </c>
      <c r="G933" s="192">
        <v>1528715</v>
      </c>
      <c r="H933" s="299">
        <f t="shared" ref="H933:H946" si="263">G933/D933*100</f>
        <v>19.1089375</v>
      </c>
      <c r="I933" s="192">
        <f>G933</f>
        <v>1528715</v>
      </c>
      <c r="J933" s="301">
        <f>I933/D933*100</f>
        <v>19.1089375</v>
      </c>
      <c r="K933" s="331">
        <f t="shared" ref="K933:K945" si="264">7/12</f>
        <v>0.58333333333333337</v>
      </c>
      <c r="L933" s="311">
        <f t="shared" ref="L933:L946" si="265">J933</f>
        <v>19.1089375</v>
      </c>
      <c r="M933" s="132"/>
    </row>
    <row r="934" spans="1:14">
      <c r="A934" s="44"/>
      <c r="B934" s="47" t="s">
        <v>29</v>
      </c>
      <c r="C934" s="48" t="s">
        <v>31</v>
      </c>
      <c r="D934" s="34">
        <v>5000000</v>
      </c>
      <c r="E934" s="297">
        <v>0</v>
      </c>
      <c r="F934" s="132">
        <v>0</v>
      </c>
      <c r="G934" s="192">
        <v>1870150</v>
      </c>
      <c r="H934" s="299">
        <f t="shared" si="263"/>
        <v>37.402999999999999</v>
      </c>
      <c r="I934" s="192">
        <f t="shared" ref="I934:I935" si="266">G934</f>
        <v>1870150</v>
      </c>
      <c r="J934" s="301">
        <f t="shared" ref="J934:J943" si="267">I934/D934*100</f>
        <v>37.402999999999999</v>
      </c>
      <c r="K934" s="331">
        <f t="shared" si="264"/>
        <v>0.58333333333333337</v>
      </c>
      <c r="L934" s="311">
        <f t="shared" si="265"/>
        <v>37.402999999999999</v>
      </c>
      <c r="M934" s="132"/>
    </row>
    <row r="935" spans="1:14">
      <c r="A935" s="44"/>
      <c r="B935" s="47" t="s">
        <v>29</v>
      </c>
      <c r="C935" s="48" t="s">
        <v>32</v>
      </c>
      <c r="D935" s="34">
        <v>12000000</v>
      </c>
      <c r="E935" s="297">
        <v>0</v>
      </c>
      <c r="F935" s="132">
        <v>0</v>
      </c>
      <c r="G935" s="192">
        <v>3787684</v>
      </c>
      <c r="H935" s="299">
        <f>G935/D935*100</f>
        <v>31.564033333333334</v>
      </c>
      <c r="I935" s="192">
        <f t="shared" si="266"/>
        <v>3787684</v>
      </c>
      <c r="J935" s="301">
        <f t="shared" si="267"/>
        <v>31.564033333333334</v>
      </c>
      <c r="K935" s="331">
        <f t="shared" si="264"/>
        <v>0.58333333333333337</v>
      </c>
      <c r="L935" s="311">
        <f t="shared" si="265"/>
        <v>31.564033333333334</v>
      </c>
      <c r="M935" s="132"/>
    </row>
    <row r="936" spans="1:14">
      <c r="A936" s="44"/>
      <c r="B936" s="47" t="s">
        <v>33</v>
      </c>
      <c r="C936" s="48" t="s">
        <v>34</v>
      </c>
      <c r="D936" s="34">
        <v>12105000</v>
      </c>
      <c r="E936" s="117">
        <v>0</v>
      </c>
      <c r="F936" s="132">
        <v>0</v>
      </c>
      <c r="G936" s="192">
        <v>6000000</v>
      </c>
      <c r="H936" s="299">
        <f t="shared" si="263"/>
        <v>49.566294919454776</v>
      </c>
      <c r="I936" s="192">
        <f>G936</f>
        <v>6000000</v>
      </c>
      <c r="J936" s="301">
        <f t="shared" si="267"/>
        <v>49.566294919454776</v>
      </c>
      <c r="K936" s="331">
        <f t="shared" si="264"/>
        <v>0.58333333333333337</v>
      </c>
      <c r="L936" s="311">
        <f t="shared" si="265"/>
        <v>49.566294919454776</v>
      </c>
      <c r="M936" s="132"/>
    </row>
    <row r="937" spans="1:14">
      <c r="A937" s="44"/>
      <c r="B937" s="47">
        <v>10</v>
      </c>
      <c r="C937" s="48" t="s">
        <v>35</v>
      </c>
      <c r="D937" s="34">
        <v>11895000</v>
      </c>
      <c r="E937" s="117">
        <v>0</v>
      </c>
      <c r="F937" s="132">
        <v>0</v>
      </c>
      <c r="G937" s="192">
        <f>1500000+1000000+1000000+2250000</f>
        <v>5750000</v>
      </c>
      <c r="H937" s="299">
        <f t="shared" si="263"/>
        <v>48.339638503572928</v>
      </c>
      <c r="I937" s="192">
        <f t="shared" ref="I937:I940" si="268">G937</f>
        <v>5750000</v>
      </c>
      <c r="J937" s="301">
        <f t="shared" si="267"/>
        <v>48.339638503572928</v>
      </c>
      <c r="K937" s="331">
        <f t="shared" si="264"/>
        <v>0.58333333333333337</v>
      </c>
      <c r="L937" s="311">
        <f t="shared" si="265"/>
        <v>48.339638503572928</v>
      </c>
      <c r="M937" s="132"/>
    </row>
    <row r="938" spans="1:14">
      <c r="A938" s="44"/>
      <c r="B938" s="47">
        <v>11</v>
      </c>
      <c r="C938" s="48" t="s">
        <v>36</v>
      </c>
      <c r="D938" s="34">
        <v>6000000</v>
      </c>
      <c r="E938" s="117">
        <v>0</v>
      </c>
      <c r="F938" s="132">
        <v>0</v>
      </c>
      <c r="G938" s="192">
        <f>1000000+500000+750000+1700000</f>
        <v>3950000</v>
      </c>
      <c r="H938" s="299">
        <f t="shared" si="263"/>
        <v>65.833333333333329</v>
      </c>
      <c r="I938" s="192">
        <f t="shared" si="268"/>
        <v>3950000</v>
      </c>
      <c r="J938" s="301">
        <f t="shared" si="267"/>
        <v>65.833333333333329</v>
      </c>
      <c r="K938" s="331">
        <f t="shared" si="264"/>
        <v>0.58333333333333337</v>
      </c>
      <c r="L938" s="311">
        <f t="shared" si="265"/>
        <v>65.833333333333329</v>
      </c>
      <c r="M938" s="132"/>
    </row>
    <row r="939" spans="1:14">
      <c r="A939" s="44"/>
      <c r="B939" s="47">
        <v>11</v>
      </c>
      <c r="C939" s="48" t="s">
        <v>37</v>
      </c>
      <c r="D939" s="34">
        <v>18000000</v>
      </c>
      <c r="E939" s="117">
        <v>0</v>
      </c>
      <c r="F939" s="132">
        <v>0</v>
      </c>
      <c r="G939" s="192">
        <f>2525600+17850+34600+34000+2524800</f>
        <v>5136850</v>
      </c>
      <c r="H939" s="299">
        <f t="shared" si="263"/>
        <v>28.538055555555559</v>
      </c>
      <c r="I939" s="192">
        <f t="shared" si="268"/>
        <v>5136850</v>
      </c>
      <c r="J939" s="301">
        <f t="shared" si="267"/>
        <v>28.538055555555559</v>
      </c>
      <c r="K939" s="331">
        <f t="shared" si="264"/>
        <v>0.58333333333333337</v>
      </c>
      <c r="L939" s="311">
        <f t="shared" si="265"/>
        <v>28.538055555555559</v>
      </c>
      <c r="M939" s="132"/>
    </row>
    <row r="940" spans="1:14">
      <c r="A940" s="44"/>
      <c r="B940" s="47">
        <v>12</v>
      </c>
      <c r="C940" s="48" t="s">
        <v>38</v>
      </c>
      <c r="D940" s="34">
        <v>5000000</v>
      </c>
      <c r="E940" s="117">
        <v>0</v>
      </c>
      <c r="F940" s="132">
        <v>0</v>
      </c>
      <c r="G940" s="192">
        <v>2500000</v>
      </c>
      <c r="H940" s="299">
        <f t="shared" si="263"/>
        <v>50</v>
      </c>
      <c r="I940" s="192">
        <f t="shared" si="268"/>
        <v>2500000</v>
      </c>
      <c r="J940" s="301">
        <f t="shared" si="267"/>
        <v>50</v>
      </c>
      <c r="K940" s="331">
        <f t="shared" si="264"/>
        <v>0.58333333333333337</v>
      </c>
      <c r="L940" s="311">
        <f t="shared" si="265"/>
        <v>50</v>
      </c>
      <c r="M940" s="132"/>
    </row>
    <row r="941" spans="1:14">
      <c r="A941" s="44"/>
      <c r="B941" s="47">
        <v>13</v>
      </c>
      <c r="C941" s="48" t="s">
        <v>39</v>
      </c>
      <c r="D941" s="34">
        <v>5000000</v>
      </c>
      <c r="E941" s="117">
        <v>0</v>
      </c>
      <c r="F941" s="132">
        <v>0</v>
      </c>
      <c r="G941" s="192">
        <f>1000000+250000+500000+745000</f>
        <v>2495000</v>
      </c>
      <c r="H941" s="299">
        <f t="shared" si="263"/>
        <v>49.9</v>
      </c>
      <c r="I941" s="192">
        <f>G941</f>
        <v>2495000</v>
      </c>
      <c r="J941" s="301">
        <f t="shared" si="267"/>
        <v>49.9</v>
      </c>
      <c r="K941" s="331">
        <f t="shared" si="264"/>
        <v>0.58333333333333337</v>
      </c>
      <c r="L941" s="311">
        <f t="shared" si="265"/>
        <v>49.9</v>
      </c>
      <c r="M941" s="132"/>
    </row>
    <row r="942" spans="1:14">
      <c r="A942" s="44"/>
      <c r="B942" s="47">
        <v>15</v>
      </c>
      <c r="C942" s="48" t="s">
        <v>40</v>
      </c>
      <c r="D942" s="34">
        <v>3000000</v>
      </c>
      <c r="E942" s="117">
        <v>0</v>
      </c>
      <c r="F942" s="132">
        <v>0</v>
      </c>
      <c r="G942" s="192">
        <f>260000+140000+260000+140000</f>
        <v>800000</v>
      </c>
      <c r="H942" s="299">
        <f t="shared" si="263"/>
        <v>26.666666666666668</v>
      </c>
      <c r="I942" s="192">
        <f t="shared" ref="I942:I943" si="269">G942</f>
        <v>800000</v>
      </c>
      <c r="J942" s="301">
        <f t="shared" si="267"/>
        <v>26.666666666666668</v>
      </c>
      <c r="K942" s="331">
        <f t="shared" si="264"/>
        <v>0.58333333333333337</v>
      </c>
      <c r="L942" s="311">
        <f t="shared" si="265"/>
        <v>26.666666666666668</v>
      </c>
      <c r="M942" s="132"/>
    </row>
    <row r="943" spans="1:14">
      <c r="A943" s="44"/>
      <c r="B943" s="47">
        <v>17</v>
      </c>
      <c r="C943" s="48" t="s">
        <v>41</v>
      </c>
      <c r="D943" s="34">
        <v>5000000</v>
      </c>
      <c r="E943" s="117">
        <v>0</v>
      </c>
      <c r="F943" s="132">
        <v>0</v>
      </c>
      <c r="G943" s="192">
        <f>1000000+250000+750000</f>
        <v>2000000</v>
      </c>
      <c r="H943" s="299">
        <f t="shared" si="263"/>
        <v>40</v>
      </c>
      <c r="I943" s="192">
        <f t="shared" si="269"/>
        <v>2000000</v>
      </c>
      <c r="J943" s="301">
        <f t="shared" si="267"/>
        <v>40</v>
      </c>
      <c r="K943" s="331">
        <f t="shared" si="264"/>
        <v>0.58333333333333337</v>
      </c>
      <c r="L943" s="311">
        <f t="shared" si="265"/>
        <v>40</v>
      </c>
      <c r="M943" s="132"/>
    </row>
    <row r="944" spans="1:14">
      <c r="A944" s="44"/>
      <c r="B944" s="47">
        <v>17</v>
      </c>
      <c r="C944" s="48" t="s">
        <v>42</v>
      </c>
      <c r="D944" s="34">
        <v>7000000</v>
      </c>
      <c r="E944" s="117">
        <v>0</v>
      </c>
      <c r="F944" s="132">
        <v>0</v>
      </c>
      <c r="G944" s="192">
        <f>1200000+400000+1800000</f>
        <v>3400000</v>
      </c>
      <c r="H944" s="299">
        <f t="shared" si="263"/>
        <v>48.571428571428569</v>
      </c>
      <c r="I944" s="192">
        <f>G944</f>
        <v>3400000</v>
      </c>
      <c r="J944" s="301">
        <f>I944/D944*100</f>
        <v>48.571428571428569</v>
      </c>
      <c r="K944" s="331">
        <f t="shared" si="264"/>
        <v>0.58333333333333337</v>
      </c>
      <c r="L944" s="311">
        <f t="shared" si="265"/>
        <v>48.571428571428569</v>
      </c>
      <c r="M944" s="132"/>
      <c r="N944" s="161">
        <f>D944-G944</f>
        <v>3600000</v>
      </c>
    </row>
    <row r="945" spans="1:14">
      <c r="A945" s="44"/>
      <c r="B945" s="47">
        <v>18</v>
      </c>
      <c r="C945" s="48" t="s">
        <v>43</v>
      </c>
      <c r="D945" s="34">
        <v>15000000</v>
      </c>
      <c r="E945" s="117">
        <v>0</v>
      </c>
      <c r="F945" s="132">
        <v>0</v>
      </c>
      <c r="G945" s="192">
        <f>1450000+375000+1525000+2900000+200000</f>
        <v>6450000</v>
      </c>
      <c r="H945" s="299">
        <f t="shared" si="263"/>
        <v>43</v>
      </c>
      <c r="I945" s="192">
        <f>G945</f>
        <v>6450000</v>
      </c>
      <c r="J945" s="301">
        <f t="shared" ref="J945:J946" si="270">I945/D945*100</f>
        <v>43</v>
      </c>
      <c r="K945" s="331">
        <f t="shared" si="264"/>
        <v>0.58333333333333337</v>
      </c>
      <c r="L945" s="311">
        <f t="shared" si="265"/>
        <v>43</v>
      </c>
      <c r="M945" s="132"/>
      <c r="N945" s="161">
        <f>D945-G945</f>
        <v>8550000</v>
      </c>
    </row>
    <row r="946" spans="1:14" ht="15.75" thickBot="1">
      <c r="A946" s="44"/>
      <c r="B946" s="49">
        <v>19</v>
      </c>
      <c r="C946" s="50" t="s">
        <v>44</v>
      </c>
      <c r="D946" s="51">
        <v>51212000</v>
      </c>
      <c r="E946" s="298"/>
      <c r="F946" s="133">
        <v>0</v>
      </c>
      <c r="G946" s="192">
        <v>28605000</v>
      </c>
      <c r="H946" s="300">
        <f t="shared" si="263"/>
        <v>55.856049363430451</v>
      </c>
      <c r="I946" s="192">
        <f t="shared" ref="I946" si="271">G946</f>
        <v>28605000</v>
      </c>
      <c r="J946" s="301">
        <f t="shared" si="270"/>
        <v>55.856049363430451</v>
      </c>
      <c r="K946" s="331">
        <f>7/12</f>
        <v>0.58333333333333337</v>
      </c>
      <c r="L946" s="311">
        <f t="shared" si="265"/>
        <v>55.856049363430451</v>
      </c>
      <c r="M946" s="133"/>
    </row>
    <row r="947" spans="1:14" ht="15.75" thickBot="1">
      <c r="A947" s="35"/>
      <c r="B947" s="52"/>
      <c r="C947" s="37" t="s">
        <v>45</v>
      </c>
      <c r="D947" s="53">
        <f>SUM(D932:D946)</f>
        <v>170212000</v>
      </c>
      <c r="E947" s="53">
        <f>SUM(E932:E946)</f>
        <v>0</v>
      </c>
      <c r="F947" s="53">
        <f t="shared" ref="F947" si="272">SUM(F932:F946)</f>
        <v>0</v>
      </c>
      <c r="G947" s="53">
        <f>SUM(G932:G946)</f>
        <v>76523399</v>
      </c>
      <c r="H947" s="214">
        <f>G947/D947*100</f>
        <v>44.957699222146502</v>
      </c>
      <c r="I947" s="194">
        <f t="shared" ref="I947" si="273">SUM(I932:I946)</f>
        <v>76523399</v>
      </c>
      <c r="J947" s="214">
        <f>I947/D947*100</f>
        <v>44.957699222146502</v>
      </c>
      <c r="K947" s="332">
        <f>7/12</f>
        <v>0.58333333333333337</v>
      </c>
      <c r="L947" s="214">
        <f>J947</f>
        <v>44.957699222146502</v>
      </c>
      <c r="M947" s="53"/>
    </row>
    <row r="948" spans="1:14">
      <c r="A948" s="54" t="s">
        <v>29</v>
      </c>
      <c r="B948" s="55" t="s">
        <v>90</v>
      </c>
      <c r="C948" s="56"/>
      <c r="D948" s="57"/>
      <c r="E948" s="119"/>
      <c r="F948" s="131"/>
      <c r="G948" s="152"/>
      <c r="H948" s="152"/>
      <c r="I948" s="119"/>
      <c r="J948" s="152"/>
      <c r="K948" s="152"/>
      <c r="L948" s="152"/>
      <c r="M948" s="131"/>
    </row>
    <row r="949" spans="1:14">
      <c r="A949" s="279"/>
      <c r="B949" s="47" t="s">
        <v>53</v>
      </c>
      <c r="C949" s="46" t="s">
        <v>216</v>
      </c>
      <c r="D949" s="80">
        <v>40000000</v>
      </c>
      <c r="E949" s="119"/>
      <c r="F949" s="131"/>
      <c r="G949" s="152">
        <v>40000000</v>
      </c>
      <c r="H949" s="299">
        <f t="shared" ref="H949:H955" si="274">G949/D949*100</f>
        <v>100</v>
      </c>
      <c r="I949" s="119">
        <f>G949</f>
        <v>40000000</v>
      </c>
      <c r="J949" s="301">
        <f t="shared" ref="J949:J953" si="275">I949/D949*100</f>
        <v>100</v>
      </c>
      <c r="K949" s="331">
        <f>7/12</f>
        <v>0.58333333333333337</v>
      </c>
      <c r="L949" s="311">
        <f t="shared" ref="L949" si="276">J949</f>
        <v>100</v>
      </c>
      <c r="M949" s="131"/>
      <c r="N949" s="161">
        <v>2</v>
      </c>
    </row>
    <row r="950" spans="1:14">
      <c r="A950" s="44"/>
      <c r="B950" s="47" t="s">
        <v>46</v>
      </c>
      <c r="C950" s="58" t="s">
        <v>110</v>
      </c>
      <c r="D950" s="59">
        <v>20000000</v>
      </c>
      <c r="E950" s="120">
        <v>0</v>
      </c>
      <c r="F950" s="132">
        <v>0</v>
      </c>
      <c r="G950" s="119">
        <v>14475000</v>
      </c>
      <c r="H950" s="299">
        <f t="shared" si="274"/>
        <v>72.375</v>
      </c>
      <c r="I950" s="119">
        <f>G950</f>
        <v>14475000</v>
      </c>
      <c r="J950" s="301">
        <f t="shared" si="275"/>
        <v>72.375</v>
      </c>
      <c r="K950" s="331">
        <f t="shared" ref="K950:K955" si="277">7/12</f>
        <v>0.58333333333333337</v>
      </c>
      <c r="L950" s="311">
        <f>J950</f>
        <v>72.375</v>
      </c>
      <c r="M950" s="132"/>
      <c r="N950" s="161">
        <v>4</v>
      </c>
    </row>
    <row r="951" spans="1:14">
      <c r="A951" s="44"/>
      <c r="B951" s="47">
        <v>21</v>
      </c>
      <c r="C951" s="48" t="s">
        <v>47</v>
      </c>
      <c r="D951" s="59">
        <v>30000000</v>
      </c>
      <c r="E951" s="120">
        <v>0</v>
      </c>
      <c r="F951" s="132">
        <v>0</v>
      </c>
      <c r="G951" s="206">
        <v>30000000</v>
      </c>
      <c r="H951" s="299">
        <f t="shared" si="274"/>
        <v>100</v>
      </c>
      <c r="I951" s="119">
        <f t="shared" ref="I951:I952" si="278">G951</f>
        <v>30000000</v>
      </c>
      <c r="J951" s="301">
        <f t="shared" si="275"/>
        <v>100</v>
      </c>
      <c r="K951" s="331">
        <f t="shared" si="277"/>
        <v>0.58333333333333337</v>
      </c>
      <c r="L951" s="311">
        <f>J951</f>
        <v>100</v>
      </c>
      <c r="M951" s="132"/>
    </row>
    <row r="952" spans="1:14">
      <c r="A952" s="44"/>
      <c r="B952" s="47">
        <v>22</v>
      </c>
      <c r="C952" s="48" t="s">
        <v>48</v>
      </c>
      <c r="D952" s="60">
        <v>30000000</v>
      </c>
      <c r="E952" s="120">
        <v>0</v>
      </c>
      <c r="F952" s="132">
        <v>0</v>
      </c>
      <c r="G952" s="206">
        <v>30000000</v>
      </c>
      <c r="H952" s="299">
        <f t="shared" si="274"/>
        <v>100</v>
      </c>
      <c r="I952" s="119">
        <f t="shared" si="278"/>
        <v>30000000</v>
      </c>
      <c r="J952" s="301">
        <f t="shared" si="275"/>
        <v>100</v>
      </c>
      <c r="K952" s="331">
        <f t="shared" si="277"/>
        <v>0.58333333333333337</v>
      </c>
      <c r="L952" s="311">
        <f t="shared" ref="L952" si="279">J952</f>
        <v>100</v>
      </c>
      <c r="M952" s="154"/>
    </row>
    <row r="953" spans="1:14">
      <c r="A953" s="44"/>
      <c r="B953" s="47">
        <v>24</v>
      </c>
      <c r="C953" s="48" t="s">
        <v>49</v>
      </c>
      <c r="D953" s="60">
        <v>35000000</v>
      </c>
      <c r="E953" s="120">
        <v>0</v>
      </c>
      <c r="F953" s="132">
        <v>0</v>
      </c>
      <c r="G953" s="206">
        <f>6051250+1700000+2418000+4557000</f>
        <v>14726250</v>
      </c>
      <c r="H953" s="299">
        <f t="shared" si="274"/>
        <v>42.075000000000003</v>
      </c>
      <c r="I953" s="192">
        <f>G953</f>
        <v>14726250</v>
      </c>
      <c r="J953" s="301">
        <f t="shared" si="275"/>
        <v>42.075000000000003</v>
      </c>
      <c r="K953" s="331">
        <f t="shared" si="277"/>
        <v>0.58333333333333337</v>
      </c>
      <c r="L953" s="311">
        <f>J953</f>
        <v>42.075000000000003</v>
      </c>
      <c r="M953" s="132"/>
    </row>
    <row r="954" spans="1:14">
      <c r="A954" s="44"/>
      <c r="B954" s="47">
        <v>26</v>
      </c>
      <c r="C954" s="48" t="s">
        <v>50</v>
      </c>
      <c r="D954" s="60">
        <v>4000000</v>
      </c>
      <c r="E954" s="120">
        <v>0</v>
      </c>
      <c r="F954" s="132">
        <v>0</v>
      </c>
      <c r="G954" s="206">
        <v>2000000</v>
      </c>
      <c r="H954" s="299">
        <f>G954/D954*100</f>
        <v>50</v>
      </c>
      <c r="I954" s="192">
        <f>G954</f>
        <v>2000000</v>
      </c>
      <c r="J954" s="301">
        <f>I954/D954*100</f>
        <v>50</v>
      </c>
      <c r="K954" s="331">
        <f t="shared" si="277"/>
        <v>0.58333333333333337</v>
      </c>
      <c r="L954" s="311">
        <f t="shared" ref="L954:L956" si="280">J954</f>
        <v>50</v>
      </c>
      <c r="M954" s="132"/>
    </row>
    <row r="955" spans="1:14">
      <c r="A955" s="44"/>
      <c r="B955" s="47">
        <v>28</v>
      </c>
      <c r="C955" s="48" t="s">
        <v>51</v>
      </c>
      <c r="D955" s="60">
        <v>12000000</v>
      </c>
      <c r="E955" s="120">
        <v>0</v>
      </c>
      <c r="F955" s="132">
        <v>0</v>
      </c>
      <c r="G955" s="206">
        <f>300000+300000+2250000+1000000+400000+1250000+500000</f>
        <v>6000000</v>
      </c>
      <c r="H955" s="299">
        <f t="shared" si="274"/>
        <v>50</v>
      </c>
      <c r="I955" s="192">
        <f>G955</f>
        <v>6000000</v>
      </c>
      <c r="J955" s="301">
        <f>I955/D955*100</f>
        <v>50</v>
      </c>
      <c r="K955" s="331">
        <f t="shared" si="277"/>
        <v>0.58333333333333337</v>
      </c>
      <c r="L955" s="311">
        <f t="shared" si="280"/>
        <v>50</v>
      </c>
      <c r="M955" s="132"/>
    </row>
    <row r="956" spans="1:14">
      <c r="A956" s="44"/>
      <c r="B956" s="61">
        <v>29</v>
      </c>
      <c r="C956" s="50" t="s">
        <v>52</v>
      </c>
      <c r="D956" s="62">
        <v>2000000</v>
      </c>
      <c r="E956" s="121">
        <v>0</v>
      </c>
      <c r="F956" s="133">
        <v>0</v>
      </c>
      <c r="G956" s="197">
        <f>200000+100000+390000</f>
        <v>690000</v>
      </c>
      <c r="H956" s="312">
        <f>G956/D956*100</f>
        <v>34.5</v>
      </c>
      <c r="I956" s="313">
        <f t="shared" ref="I956" si="281">G956</f>
        <v>690000</v>
      </c>
      <c r="J956" s="314">
        <f t="shared" ref="J956" si="282">I956/D956*100</f>
        <v>34.5</v>
      </c>
      <c r="K956" s="331">
        <f>7/12</f>
        <v>0.58333333333333337</v>
      </c>
      <c r="L956" s="311">
        <f t="shared" si="280"/>
        <v>34.5</v>
      </c>
      <c r="M956" s="133"/>
    </row>
    <row r="957" spans="1:14">
      <c r="A957" s="63"/>
      <c r="B957" s="64"/>
      <c r="C957" s="65" t="s">
        <v>45</v>
      </c>
      <c r="D957" s="66">
        <f>SUM(D949:D956)</f>
        <v>173000000</v>
      </c>
      <c r="E957" s="122"/>
      <c r="F957" s="66"/>
      <c r="G957" s="285">
        <f>SUM(G949:G956)</f>
        <v>137891250</v>
      </c>
      <c r="H957" s="323">
        <f>G957/D957*100</f>
        <v>79.705924855491332</v>
      </c>
      <c r="I957" s="286">
        <f>SUM(I949:I956)</f>
        <v>137891250</v>
      </c>
      <c r="J957" s="323">
        <f>I957/D957*100</f>
        <v>79.705924855491332</v>
      </c>
      <c r="K957" s="333">
        <f>7/12</f>
        <v>0.58333333333333337</v>
      </c>
      <c r="L957" s="302">
        <f>J957</f>
        <v>79.705924855491332</v>
      </c>
      <c r="M957" s="66"/>
    </row>
    <row r="958" spans="1:14">
      <c r="A958" s="67" t="s">
        <v>53</v>
      </c>
      <c r="B958" s="68" t="s">
        <v>54</v>
      </c>
      <c r="C958" s="69"/>
      <c r="D958" s="70"/>
      <c r="E958" s="123"/>
      <c r="F958" s="134"/>
      <c r="G958" s="164"/>
      <c r="H958" s="148"/>
      <c r="I958" s="164"/>
      <c r="J958" s="152"/>
      <c r="K958" s="152"/>
      <c r="L958" s="156"/>
      <c r="M958" s="134"/>
    </row>
    <row r="959" spans="1:14">
      <c r="A959" s="44"/>
      <c r="B959" s="47" t="s">
        <v>26</v>
      </c>
      <c r="C959" s="48" t="s">
        <v>55</v>
      </c>
      <c r="D959" s="60">
        <v>25000000</v>
      </c>
      <c r="E959" s="120">
        <v>0</v>
      </c>
      <c r="F959" s="208">
        <v>0</v>
      </c>
      <c r="G959" s="197" t="s">
        <v>132</v>
      </c>
      <c r="H959" s="59" t="s">
        <v>132</v>
      </c>
      <c r="I959" s="197" t="s">
        <v>132</v>
      </c>
      <c r="J959" s="59" t="s">
        <v>132</v>
      </c>
      <c r="K959" s="59">
        <v>0</v>
      </c>
      <c r="L959" s="59">
        <v>0</v>
      </c>
      <c r="M959" s="132"/>
    </row>
    <row r="960" spans="1:14">
      <c r="A960" s="63"/>
      <c r="B960" s="71"/>
      <c r="C960" s="65" t="s">
        <v>45</v>
      </c>
      <c r="D960" s="66">
        <f>SUM(D959:D959)</f>
        <v>25000000</v>
      </c>
      <c r="E960" s="122">
        <f>SUM(E959:E959)</f>
        <v>0</v>
      </c>
      <c r="F960" s="202">
        <f>SUM(F959:F959)</f>
        <v>0</v>
      </c>
      <c r="G960" s="122" t="s">
        <v>132</v>
      </c>
      <c r="H960" s="66" t="s">
        <v>132</v>
      </c>
      <c r="I960" s="122" t="s">
        <v>132</v>
      </c>
      <c r="J960" s="155" t="s">
        <v>132</v>
      </c>
      <c r="K960" s="66">
        <f>SUM(K959:K959)</f>
        <v>0</v>
      </c>
      <c r="L960" s="66">
        <f>SUM(L959:L959)</f>
        <v>0</v>
      </c>
      <c r="M960" s="66"/>
    </row>
    <row r="961" spans="1:14">
      <c r="A961" s="44">
        <v>15</v>
      </c>
      <c r="B961" s="72" t="s">
        <v>61</v>
      </c>
      <c r="C961" s="73"/>
      <c r="D961" s="57"/>
      <c r="E961" s="119"/>
      <c r="F961" s="209"/>
      <c r="G961" s="119" t="s">
        <v>132</v>
      </c>
      <c r="H961" s="152" t="s">
        <v>132</v>
      </c>
      <c r="I961" s="119" t="s">
        <v>132</v>
      </c>
      <c r="J961" s="152" t="s">
        <v>132</v>
      </c>
      <c r="K961" s="152"/>
      <c r="L961" s="152"/>
      <c r="M961" s="131"/>
    </row>
    <row r="962" spans="1:14">
      <c r="A962" s="44"/>
      <c r="B962" s="47">
        <v>18</v>
      </c>
      <c r="C962" s="48" t="s">
        <v>62</v>
      </c>
      <c r="D962" s="60">
        <v>5000000</v>
      </c>
      <c r="E962" s="120">
        <v>0</v>
      </c>
      <c r="F962" s="208">
        <v>0</v>
      </c>
      <c r="G962" s="120">
        <v>5000000</v>
      </c>
      <c r="H962" s="299">
        <f t="shared" ref="H962:H963" si="283">G962/D962*100</f>
        <v>100</v>
      </c>
      <c r="I962" s="120">
        <f>G962</f>
        <v>5000000</v>
      </c>
      <c r="J962" s="301">
        <f>I962/D962*100</f>
        <v>100</v>
      </c>
      <c r="K962" s="331">
        <f>7/12</f>
        <v>0.58333333333333337</v>
      </c>
      <c r="L962" s="301">
        <f>J962</f>
        <v>100</v>
      </c>
      <c r="M962" s="132"/>
    </row>
    <row r="963" spans="1:14" ht="25.5">
      <c r="A963" s="44"/>
      <c r="B963" s="49">
        <v>63</v>
      </c>
      <c r="C963" s="244" t="s">
        <v>63</v>
      </c>
      <c r="D963" s="62">
        <v>5000000</v>
      </c>
      <c r="E963" s="121">
        <v>0</v>
      </c>
      <c r="F963" s="210">
        <v>0</v>
      </c>
      <c r="G963" s="121">
        <v>5000000</v>
      </c>
      <c r="H963" s="300">
        <f t="shared" si="283"/>
        <v>100</v>
      </c>
      <c r="I963" s="120">
        <f>G963</f>
        <v>5000000</v>
      </c>
      <c r="J963" s="314">
        <f>I963/D963*100</f>
        <v>100</v>
      </c>
      <c r="K963" s="331">
        <f>7/12</f>
        <v>0.58333333333333337</v>
      </c>
      <c r="L963" s="528">
        <f>J963</f>
        <v>100</v>
      </c>
      <c r="M963" s="133"/>
    </row>
    <row r="964" spans="1:14">
      <c r="A964" s="63"/>
      <c r="B964" s="64"/>
      <c r="C964" s="65" t="s">
        <v>45</v>
      </c>
      <c r="D964" s="66">
        <f>SUM(D962:D963)</f>
        <v>10000000</v>
      </c>
      <c r="E964" s="122">
        <f t="shared" ref="E964" si="284">SUM(E962:E963)</f>
        <v>0</v>
      </c>
      <c r="F964" s="202">
        <f>SUM(F962:F963)</f>
        <v>0</v>
      </c>
      <c r="G964" s="195">
        <f>SUM(G962:G963)</f>
        <v>10000000</v>
      </c>
      <c r="H964" s="302">
        <f>G964/D964*100</f>
        <v>100</v>
      </c>
      <c r="I964" s="195">
        <f>SUM(I962:I963)</f>
        <v>10000000</v>
      </c>
      <c r="J964" s="323">
        <f>I964/D964*100</f>
        <v>100</v>
      </c>
      <c r="K964" s="356">
        <f>7/12</f>
        <v>0.58333333333333337</v>
      </c>
      <c r="L964" s="302">
        <f>J964</f>
        <v>100</v>
      </c>
      <c r="M964" s="66"/>
    </row>
    <row r="965" spans="1:14">
      <c r="A965" s="44">
        <v>30</v>
      </c>
      <c r="B965" s="77" t="s">
        <v>64</v>
      </c>
      <c r="C965" s="78"/>
      <c r="D965" s="57"/>
      <c r="E965" s="119"/>
      <c r="F965" s="209"/>
      <c r="G965" s="119"/>
      <c r="H965" s="152"/>
      <c r="I965" s="119"/>
      <c r="J965" s="152"/>
      <c r="K965" s="152"/>
      <c r="L965" s="311"/>
      <c r="M965" s="131"/>
    </row>
    <row r="966" spans="1:14">
      <c r="A966" s="44"/>
      <c r="B966" s="45">
        <v>2</v>
      </c>
      <c r="C966" s="79" t="s">
        <v>102</v>
      </c>
      <c r="D966" s="80">
        <v>200000000</v>
      </c>
      <c r="E966" s="124">
        <v>0</v>
      </c>
      <c r="F966" s="209">
        <v>0</v>
      </c>
      <c r="G966" s="124">
        <v>199258000</v>
      </c>
      <c r="H966" s="312">
        <f t="shared" ref="H966" si="285">G966/D966*100</f>
        <v>99.629000000000005</v>
      </c>
      <c r="I966" s="120">
        <f>G966</f>
        <v>199258000</v>
      </c>
      <c r="J966" s="314">
        <f>I966/D966*100</f>
        <v>99.629000000000005</v>
      </c>
      <c r="K966" s="355">
        <f>7/12</f>
        <v>0.58333333333333337</v>
      </c>
      <c r="L966" s="311">
        <f>J966</f>
        <v>99.629000000000005</v>
      </c>
      <c r="M966" s="131"/>
      <c r="N966" s="161">
        <f>D966-G966</f>
        <v>742000</v>
      </c>
    </row>
    <row r="967" spans="1:14">
      <c r="A967" s="63"/>
      <c r="B967" s="64"/>
      <c r="C967" s="65" t="s">
        <v>45</v>
      </c>
      <c r="D967" s="66">
        <f>SUM(D965:D966)</f>
        <v>200000000</v>
      </c>
      <c r="E967" s="66">
        <f>SUM(E965:E966)</f>
        <v>0</v>
      </c>
      <c r="F967" s="202">
        <f>SUM(F965:F966)</f>
        <v>0</v>
      </c>
      <c r="G967" s="122">
        <f>SUM(G966)</f>
        <v>199258000</v>
      </c>
      <c r="H967" s="323">
        <f>G967/D967*100</f>
        <v>99.629000000000005</v>
      </c>
      <c r="I967" s="122">
        <f>SUM(I966)</f>
        <v>199258000</v>
      </c>
      <c r="J967" s="323">
        <f>I967/D967*100</f>
        <v>99.629000000000005</v>
      </c>
      <c r="K967" s="356">
        <f>7/12</f>
        <v>0.58333333333333337</v>
      </c>
      <c r="L967" s="302">
        <f>J967</f>
        <v>99.629000000000005</v>
      </c>
      <c r="M967" s="66"/>
    </row>
    <row r="968" spans="1:14">
      <c r="A968" s="44">
        <v>21</v>
      </c>
      <c r="B968" s="81" t="s">
        <v>65</v>
      </c>
      <c r="C968" s="82"/>
      <c r="D968" s="57"/>
      <c r="E968" s="119"/>
      <c r="F968" s="209"/>
      <c r="G968" s="119"/>
      <c r="H968" s="152"/>
      <c r="I968" s="119"/>
      <c r="J968" s="152"/>
      <c r="K968" s="152"/>
      <c r="L968" s="311"/>
      <c r="M968" s="131"/>
    </row>
    <row r="969" spans="1:14">
      <c r="A969" s="44"/>
      <c r="B969" s="47" t="s">
        <v>46</v>
      </c>
      <c r="C969" s="48" t="s">
        <v>66</v>
      </c>
      <c r="D969" s="60">
        <v>20000000</v>
      </c>
      <c r="E969" s="125">
        <v>0</v>
      </c>
      <c r="F969" s="211">
        <v>0</v>
      </c>
      <c r="G969" s="199">
        <v>20000000</v>
      </c>
      <c r="H969" s="312">
        <f>G969/D969*100</f>
        <v>100</v>
      </c>
      <c r="I969" s="197">
        <f>G969</f>
        <v>20000000</v>
      </c>
      <c r="J969" s="301">
        <f>H969</f>
        <v>100</v>
      </c>
      <c r="K969" s="349">
        <f>7/12</f>
        <v>0.58333333333333337</v>
      </c>
      <c r="L969" s="301">
        <f>J969</f>
        <v>100</v>
      </c>
      <c r="M969" s="132"/>
    </row>
    <row r="970" spans="1:14">
      <c r="A970" s="63"/>
      <c r="B970" s="83"/>
      <c r="C970" s="65" t="s">
        <v>45</v>
      </c>
      <c r="D970" s="66">
        <f>SUM(D969:D969)</f>
        <v>20000000</v>
      </c>
      <c r="E970" s="66">
        <f t="shared" ref="E970:F970" si="286">SUM(E967:E969)</f>
        <v>0</v>
      </c>
      <c r="F970" s="202">
        <f t="shared" si="286"/>
        <v>0</v>
      </c>
      <c r="G970" s="122">
        <f>SUM(G969)</f>
        <v>20000000</v>
      </c>
      <c r="H970" s="323">
        <f>G970/D970*100</f>
        <v>100</v>
      </c>
      <c r="I970" s="122">
        <f>SUM(I969)</f>
        <v>20000000</v>
      </c>
      <c r="J970" s="302">
        <f>H970</f>
        <v>100</v>
      </c>
      <c r="K970" s="350">
        <f>7/12</f>
        <v>0.58333333333333337</v>
      </c>
      <c r="L970" s="302">
        <f>SUM(L969)</f>
        <v>100</v>
      </c>
      <c r="M970" s="66"/>
    </row>
    <row r="971" spans="1:14">
      <c r="A971" s="84">
        <v>18</v>
      </c>
      <c r="B971" s="826" t="s">
        <v>96</v>
      </c>
      <c r="C971" s="827"/>
      <c r="D971" s="57"/>
      <c r="E971" s="119"/>
      <c r="F971" s="209"/>
      <c r="G971" s="119"/>
      <c r="H971" s="152"/>
      <c r="I971" s="119"/>
      <c r="J971" s="152"/>
      <c r="K971" s="152"/>
      <c r="L971" s="152"/>
      <c r="M971" s="131"/>
    </row>
    <row r="972" spans="1:14">
      <c r="A972" s="84"/>
      <c r="B972" s="830" t="s">
        <v>95</v>
      </c>
      <c r="C972" s="831"/>
      <c r="D972" s="57"/>
      <c r="E972" s="124"/>
      <c r="F972" s="209"/>
      <c r="G972" s="119"/>
      <c r="H972" s="152"/>
      <c r="I972" s="119"/>
      <c r="J972" s="152"/>
      <c r="K972" s="152"/>
      <c r="L972" s="152"/>
      <c r="M972" s="131"/>
    </row>
    <row r="973" spans="1:14">
      <c r="A973" s="44"/>
      <c r="B973" s="47" t="s">
        <v>26</v>
      </c>
      <c r="C973" s="48" t="s">
        <v>67</v>
      </c>
      <c r="D973" s="60">
        <v>20000000</v>
      </c>
      <c r="E973" s="125">
        <v>0</v>
      </c>
      <c r="F973" s="211">
        <v>0</v>
      </c>
      <c r="G973" s="199" t="s">
        <v>132</v>
      </c>
      <c r="H973" s="59" t="s">
        <v>132</v>
      </c>
      <c r="I973" s="119" t="str">
        <f t="shared" ref="I973" si="287">G973</f>
        <v>-</v>
      </c>
      <c r="J973" s="59" t="s">
        <v>132</v>
      </c>
      <c r="K973" s="59">
        <v>0</v>
      </c>
      <c r="L973" s="59">
        <v>0</v>
      </c>
      <c r="M973" s="132"/>
    </row>
    <row r="974" spans="1:14">
      <c r="A974" s="44"/>
      <c r="B974" s="47" t="s">
        <v>29</v>
      </c>
      <c r="C974" s="204" t="s">
        <v>220</v>
      </c>
      <c r="D974" s="179">
        <v>7000000</v>
      </c>
      <c r="E974" s="180">
        <v>0</v>
      </c>
      <c r="F974" s="181">
        <v>0</v>
      </c>
      <c r="G974" s="207" t="s">
        <v>132</v>
      </c>
      <c r="H974" s="148" t="s">
        <v>132</v>
      </c>
      <c r="I974" s="119" t="s">
        <v>132</v>
      </c>
      <c r="J974" s="148" t="s">
        <v>132</v>
      </c>
      <c r="K974" s="59">
        <v>0</v>
      </c>
      <c r="L974" s="148">
        <v>0</v>
      </c>
      <c r="M974" s="165"/>
    </row>
    <row r="975" spans="1:14">
      <c r="A975" s="44"/>
      <c r="B975" s="47"/>
      <c r="C975" s="48" t="s">
        <v>117</v>
      </c>
      <c r="D975" s="60"/>
      <c r="E975" s="125"/>
      <c r="F975" s="135"/>
      <c r="G975" s="199"/>
      <c r="H975" s="59"/>
      <c r="I975" s="197"/>
      <c r="J975" s="59"/>
      <c r="K975" s="59"/>
      <c r="L975" s="59"/>
      <c r="M975" s="132"/>
    </row>
    <row r="976" spans="1:14">
      <c r="A976" s="63"/>
      <c r="B976" s="71"/>
      <c r="C976" s="65" t="s">
        <v>45</v>
      </c>
      <c r="D976" s="66">
        <f>SUM(D973:D975)</f>
        <v>27000000</v>
      </c>
      <c r="E976" s="66">
        <f t="shared" ref="E976" si="288">SUM(E973:E973)</f>
        <v>0</v>
      </c>
      <c r="F976" s="66">
        <f>SUM(F973:F973)</f>
        <v>0</v>
      </c>
      <c r="G976" s="122" t="s">
        <v>132</v>
      </c>
      <c r="H976" s="66" t="s">
        <v>132</v>
      </c>
      <c r="I976" s="122" t="s">
        <v>132</v>
      </c>
      <c r="J976" s="66" t="s">
        <v>132</v>
      </c>
      <c r="K976" s="66">
        <f>SUM(K973:K975)</f>
        <v>0</v>
      </c>
      <c r="L976" s="66">
        <f t="shared" ref="L976" si="289">SUM(L973:L973)</f>
        <v>0</v>
      </c>
      <c r="M976" s="66"/>
    </row>
    <row r="977" spans="1:13">
      <c r="A977" s="84">
        <v>17</v>
      </c>
      <c r="B977" s="826" t="s">
        <v>130</v>
      </c>
      <c r="C977" s="827"/>
      <c r="D977" s="57"/>
      <c r="E977" s="119"/>
      <c r="F977" s="131"/>
      <c r="G977" s="119"/>
      <c r="H977" s="152"/>
      <c r="I977" s="119"/>
      <c r="J977" s="152"/>
      <c r="K977" s="152"/>
      <c r="L977" s="152"/>
      <c r="M977" s="131"/>
    </row>
    <row r="978" spans="1:13">
      <c r="A978" s="44"/>
      <c r="B978" s="47" t="s">
        <v>53</v>
      </c>
      <c r="C978" s="48" t="s">
        <v>131</v>
      </c>
      <c r="D978" s="60">
        <v>24000000</v>
      </c>
      <c r="E978" s="125">
        <v>0</v>
      </c>
      <c r="F978" s="135">
        <v>0</v>
      </c>
      <c r="G978" s="197" t="s">
        <v>132</v>
      </c>
      <c r="H978" s="59" t="s">
        <v>132</v>
      </c>
      <c r="I978" s="197" t="s">
        <v>132</v>
      </c>
      <c r="J978" s="59" t="s">
        <v>132</v>
      </c>
      <c r="K978" s="59">
        <v>0</v>
      </c>
      <c r="L978" s="59">
        <v>0</v>
      </c>
      <c r="M978" s="132"/>
    </row>
    <row r="979" spans="1:13">
      <c r="A979" s="63"/>
      <c r="B979" s="64"/>
      <c r="C979" s="65" t="s">
        <v>45</v>
      </c>
      <c r="D979" s="66">
        <f>SUM(D978:D978)</f>
        <v>24000000</v>
      </c>
      <c r="E979" s="66">
        <f t="shared" ref="E979:F979" si="290">SUM(E977:E978)</f>
        <v>0</v>
      </c>
      <c r="F979" s="66">
        <f t="shared" si="290"/>
        <v>0</v>
      </c>
      <c r="G979" s="122" t="s">
        <v>132</v>
      </c>
      <c r="H979" s="66" t="s">
        <v>132</v>
      </c>
      <c r="I979" s="122" t="s">
        <v>132</v>
      </c>
      <c r="J979" s="66" t="s">
        <v>132</v>
      </c>
      <c r="K979" s="66">
        <f t="shared" ref="K979:L979" si="291">SUM(K977:K978)</f>
        <v>0</v>
      </c>
      <c r="L979" s="66">
        <f t="shared" si="291"/>
        <v>0</v>
      </c>
      <c r="M979" s="66"/>
    </row>
    <row r="980" spans="1:13">
      <c r="A980" s="44">
        <v>15</v>
      </c>
      <c r="B980" s="542" t="s">
        <v>68</v>
      </c>
      <c r="C980" s="86"/>
      <c r="D980" s="57"/>
      <c r="E980" s="119"/>
      <c r="F980" s="131"/>
      <c r="G980" s="119"/>
      <c r="H980" s="152"/>
      <c r="I980" s="119"/>
      <c r="J980" s="152"/>
      <c r="K980" s="152"/>
      <c r="L980" s="152"/>
      <c r="M980" s="131"/>
    </row>
    <row r="981" spans="1:13" ht="26.25">
      <c r="A981" s="44"/>
      <c r="B981" s="49" t="s">
        <v>80</v>
      </c>
      <c r="C981" s="50" t="s">
        <v>118</v>
      </c>
      <c r="D981" s="62">
        <v>10000000</v>
      </c>
      <c r="E981" s="125">
        <v>0</v>
      </c>
      <c r="F981" s="135">
        <v>0</v>
      </c>
      <c r="G981" s="119" t="s">
        <v>132</v>
      </c>
      <c r="H981" s="59" t="s">
        <v>132</v>
      </c>
      <c r="I981" s="119" t="s">
        <v>132</v>
      </c>
      <c r="J981" s="59" t="s">
        <v>132</v>
      </c>
      <c r="K981" s="339">
        <f>7/12</f>
        <v>0.58333333333333337</v>
      </c>
      <c r="L981" s="59">
        <v>0</v>
      </c>
      <c r="M981" s="132"/>
    </row>
    <row r="982" spans="1:13">
      <c r="A982" s="44"/>
      <c r="B982" s="49" t="s">
        <v>69</v>
      </c>
      <c r="C982" s="50" t="s">
        <v>70</v>
      </c>
      <c r="D982" s="62">
        <v>60000000</v>
      </c>
      <c r="E982" s="125">
        <v>0</v>
      </c>
      <c r="F982" s="135">
        <v>0</v>
      </c>
      <c r="G982" s="197">
        <v>30000000</v>
      </c>
      <c r="H982" s="312">
        <f>G982/D982*100</f>
        <v>50</v>
      </c>
      <c r="I982" s="197">
        <f>G982</f>
        <v>30000000</v>
      </c>
      <c r="J982" s="301">
        <f>H982</f>
        <v>50</v>
      </c>
      <c r="K982" s="349">
        <f>7/12</f>
        <v>0.58333333333333337</v>
      </c>
      <c r="L982" s="301">
        <f>J982</f>
        <v>50</v>
      </c>
      <c r="M982" s="132"/>
    </row>
    <row r="983" spans="1:13">
      <c r="A983" s="63"/>
      <c r="B983" s="64"/>
      <c r="C983" s="65" t="s">
        <v>45</v>
      </c>
      <c r="D983" s="66">
        <f>SUM(D981:D982)</f>
        <v>70000000</v>
      </c>
      <c r="E983" s="66">
        <f>SUM(E979:E982)</f>
        <v>0</v>
      </c>
      <c r="F983" s="66">
        <f>SUM(F979:F982)</f>
        <v>0</v>
      </c>
      <c r="G983" s="122">
        <f>SUM(G982)</f>
        <v>30000000</v>
      </c>
      <c r="H983" s="323">
        <f>G983/D983*100</f>
        <v>42.857142857142854</v>
      </c>
      <c r="I983" s="122">
        <f>SUM(I982)</f>
        <v>30000000</v>
      </c>
      <c r="J983" s="302">
        <f>H983</f>
        <v>42.857142857142854</v>
      </c>
      <c r="K983" s="356">
        <f>7/12</f>
        <v>0.58333333333333337</v>
      </c>
      <c r="L983" s="302">
        <f>SUM(L979:L982)</f>
        <v>50</v>
      </c>
      <c r="M983" s="66"/>
    </row>
    <row r="984" spans="1:13">
      <c r="A984" s="44">
        <v>16</v>
      </c>
      <c r="B984" s="81" t="s">
        <v>71</v>
      </c>
      <c r="C984" s="82"/>
      <c r="D984" s="57"/>
      <c r="E984" s="119"/>
      <c r="F984" s="131"/>
      <c r="G984" s="119"/>
      <c r="H984" s="152"/>
      <c r="I984" s="119"/>
      <c r="J984" s="152"/>
      <c r="K984" s="152"/>
      <c r="L984" s="152"/>
      <c r="M984" s="131"/>
    </row>
    <row r="985" spans="1:13">
      <c r="A985" s="44"/>
      <c r="B985" s="47" t="s">
        <v>72</v>
      </c>
      <c r="C985" s="48" t="s">
        <v>73</v>
      </c>
      <c r="D985" s="60">
        <v>5000000</v>
      </c>
      <c r="E985" s="120">
        <v>0</v>
      </c>
      <c r="F985" s="132">
        <v>0</v>
      </c>
      <c r="G985" s="120">
        <v>5000000</v>
      </c>
      <c r="H985" s="312">
        <f>G985/D985*100</f>
        <v>100</v>
      </c>
      <c r="I985" s="313">
        <f t="shared" ref="I985:I986" si="292">G985</f>
        <v>5000000</v>
      </c>
      <c r="J985" s="314">
        <f t="shared" ref="J985:J986" si="293">I985/D985*100</f>
        <v>100</v>
      </c>
      <c r="K985" s="339">
        <f>7/12</f>
        <v>0.58333333333333337</v>
      </c>
      <c r="L985" s="311">
        <f>J985</f>
        <v>100</v>
      </c>
      <c r="M985" s="132"/>
    </row>
    <row r="986" spans="1:13">
      <c r="A986" s="63"/>
      <c r="B986" s="83"/>
      <c r="C986" s="65" t="s">
        <v>45</v>
      </c>
      <c r="D986" s="66">
        <f>SUM(D985:D985)</f>
        <v>5000000</v>
      </c>
      <c r="E986" s="122">
        <f>SUM(E985:E985)</f>
        <v>0</v>
      </c>
      <c r="F986" s="66">
        <f>SUM(F985:F985)</f>
        <v>0</v>
      </c>
      <c r="G986" s="195">
        <f>G985</f>
        <v>5000000</v>
      </c>
      <c r="H986" s="534">
        <f>G986/D986*100</f>
        <v>100</v>
      </c>
      <c r="I986" s="530">
        <f t="shared" si="292"/>
        <v>5000000</v>
      </c>
      <c r="J986" s="531">
        <f t="shared" si="293"/>
        <v>100</v>
      </c>
      <c r="K986" s="333">
        <f>SUM(K985)</f>
        <v>0.58333333333333337</v>
      </c>
      <c r="L986" s="302">
        <f>SUM(L985)</f>
        <v>100</v>
      </c>
      <c r="M986" s="66"/>
    </row>
    <row r="987" spans="1:13">
      <c r="A987" s="87" t="s">
        <v>69</v>
      </c>
      <c r="B987" s="826" t="s">
        <v>89</v>
      </c>
      <c r="C987" s="827"/>
      <c r="D987" s="70"/>
      <c r="E987" s="123"/>
      <c r="F987" s="134"/>
      <c r="G987" s="123"/>
      <c r="H987" s="156"/>
      <c r="I987" s="123"/>
      <c r="J987" s="156"/>
      <c r="K987" s="156"/>
      <c r="L987" s="156"/>
      <c r="M987" s="134"/>
    </row>
    <row r="988" spans="1:13">
      <c r="A988" s="88"/>
      <c r="B988" s="830" t="s">
        <v>88</v>
      </c>
      <c r="C988" s="831"/>
      <c r="D988" s="57"/>
      <c r="E988" s="119"/>
      <c r="F988" s="131"/>
      <c r="G988" s="119"/>
      <c r="H988" s="152"/>
      <c r="I988" s="119"/>
      <c r="J988" s="152"/>
      <c r="K988" s="152"/>
      <c r="L988" s="152"/>
      <c r="M988" s="131"/>
    </row>
    <row r="989" spans="1:13">
      <c r="A989" s="89"/>
      <c r="B989" s="61" t="s">
        <v>26</v>
      </c>
      <c r="C989" s="90" t="s">
        <v>74</v>
      </c>
      <c r="D989" s="91">
        <v>15000000</v>
      </c>
      <c r="E989" s="126">
        <v>0</v>
      </c>
      <c r="F989" s="136">
        <v>0</v>
      </c>
      <c r="G989" s="126">
        <v>15000000</v>
      </c>
      <c r="H989" s="312">
        <f>G989/D989*100</f>
        <v>100</v>
      </c>
      <c r="I989" s="313">
        <f>G989</f>
        <v>15000000</v>
      </c>
      <c r="J989" s="314">
        <f t="shared" ref="J989:J993" si="294">I989/D989*100</f>
        <v>100</v>
      </c>
      <c r="K989" s="339">
        <f>7/12</f>
        <v>0.58333333333333337</v>
      </c>
      <c r="L989" s="311">
        <f>J989</f>
        <v>100</v>
      </c>
      <c r="M989" s="136"/>
    </row>
    <row r="990" spans="1:13">
      <c r="A990" s="63"/>
      <c r="B990" s="83"/>
      <c r="C990" s="65" t="s">
        <v>45</v>
      </c>
      <c r="D990" s="66">
        <f>SUM(D989:D989)</f>
        <v>15000000</v>
      </c>
      <c r="E990" s="122">
        <f>SUM(E989:E989)</f>
        <v>0</v>
      </c>
      <c r="F990" s="66">
        <f>SUM(F989:F989)</f>
        <v>0</v>
      </c>
      <c r="G990" s="532">
        <f>SUM(G989)</f>
        <v>15000000</v>
      </c>
      <c r="H990" s="323">
        <f>G990/D990*100</f>
        <v>100</v>
      </c>
      <c r="I990" s="533">
        <f t="shared" ref="I990" si="295">G990</f>
        <v>15000000</v>
      </c>
      <c r="J990" s="340">
        <f t="shared" si="294"/>
        <v>100</v>
      </c>
      <c r="K990" s="333">
        <f>SUM(K989)</f>
        <v>0.58333333333333337</v>
      </c>
      <c r="L990" s="302">
        <f>SUM(L989)</f>
        <v>100</v>
      </c>
      <c r="M990" s="66"/>
    </row>
    <row r="991" spans="1:13">
      <c r="A991" s="88"/>
      <c r="B991" s="826" t="s">
        <v>94</v>
      </c>
      <c r="C991" s="827"/>
      <c r="D991" s="57"/>
      <c r="E991" s="119"/>
      <c r="F991" s="131"/>
      <c r="G991" s="119"/>
      <c r="H991" s="152"/>
      <c r="I991" s="119"/>
      <c r="J991" s="152"/>
      <c r="K991" s="152"/>
      <c r="L991" s="152"/>
      <c r="M991" s="131"/>
    </row>
    <row r="992" spans="1:13">
      <c r="A992" s="84"/>
      <c r="B992" s="92" t="s">
        <v>26</v>
      </c>
      <c r="C992" s="48" t="s">
        <v>134</v>
      </c>
      <c r="D992" s="60">
        <v>4000000</v>
      </c>
      <c r="E992" s="125">
        <v>0</v>
      </c>
      <c r="F992" s="135">
        <v>0</v>
      </c>
      <c r="G992" s="197">
        <v>4000000</v>
      </c>
      <c r="H992" s="312">
        <f>G992/D992*100</f>
        <v>100</v>
      </c>
      <c r="I992" s="197">
        <f>G992</f>
        <v>4000000</v>
      </c>
      <c r="J992" s="314">
        <f t="shared" si="294"/>
        <v>100</v>
      </c>
      <c r="K992" s="355">
        <f>7/12</f>
        <v>0.58333333333333337</v>
      </c>
      <c r="L992" s="301">
        <f>J992</f>
        <v>100</v>
      </c>
      <c r="M992" s="132"/>
    </row>
    <row r="993" spans="1:13">
      <c r="A993" s="93"/>
      <c r="B993" s="64"/>
      <c r="C993" s="65" t="s">
        <v>45</v>
      </c>
      <c r="D993" s="66">
        <f>SUM(D992:D992)</f>
        <v>4000000</v>
      </c>
      <c r="E993" s="66">
        <f t="shared" ref="E993:F993" si="296">SUM(E987:E992)</f>
        <v>0</v>
      </c>
      <c r="F993" s="66">
        <f t="shared" si="296"/>
        <v>0</v>
      </c>
      <c r="G993" s="122">
        <f>SUM(G992)</f>
        <v>4000000</v>
      </c>
      <c r="H993" s="323">
        <f>G993/D993*100</f>
        <v>100</v>
      </c>
      <c r="I993" s="533">
        <f t="shared" ref="I993" si="297">G993</f>
        <v>4000000</v>
      </c>
      <c r="J993" s="340">
        <f t="shared" si="294"/>
        <v>100</v>
      </c>
      <c r="K993" s="350">
        <f>7/12</f>
        <v>0.58333333333333337</v>
      </c>
      <c r="L993" s="302">
        <f>J993</f>
        <v>100</v>
      </c>
      <c r="M993" s="66"/>
    </row>
    <row r="994" spans="1:13">
      <c r="A994" s="84">
        <v>16</v>
      </c>
      <c r="B994" s="826" t="s">
        <v>75</v>
      </c>
      <c r="C994" s="827"/>
      <c r="D994" s="57"/>
      <c r="E994" s="119"/>
      <c r="F994" s="131"/>
      <c r="G994" s="119"/>
      <c r="H994" s="156"/>
      <c r="I994" s="123"/>
      <c r="J994" s="152"/>
      <c r="K994" s="152"/>
      <c r="L994" s="152"/>
      <c r="M994" s="131"/>
    </row>
    <row r="995" spans="1:13">
      <c r="A995" s="84"/>
      <c r="B995" s="94" t="s">
        <v>72</v>
      </c>
      <c r="C995" s="95" t="s">
        <v>103</v>
      </c>
      <c r="D995" s="80">
        <v>10000000</v>
      </c>
      <c r="E995" s="124"/>
      <c r="F995" s="131"/>
      <c r="G995" s="218">
        <v>6000000</v>
      </c>
      <c r="H995" s="312">
        <f>G995/D995*100</f>
        <v>60</v>
      </c>
      <c r="I995" s="313">
        <f t="shared" ref="I995" si="298">G995</f>
        <v>6000000</v>
      </c>
      <c r="J995" s="314">
        <f t="shared" ref="J995" si="299">I995/D995*100</f>
        <v>60</v>
      </c>
      <c r="K995" s="339">
        <f>7/12</f>
        <v>0.58333333333333337</v>
      </c>
      <c r="L995" s="311">
        <f>J995</f>
        <v>60</v>
      </c>
      <c r="M995" s="131"/>
    </row>
    <row r="996" spans="1:13">
      <c r="A996" s="93"/>
      <c r="B996" s="83"/>
      <c r="C996" s="65" t="s">
        <v>45</v>
      </c>
      <c r="D996" s="66">
        <f>SUM(D995)</f>
        <v>10000000</v>
      </c>
      <c r="E996" s="66">
        <f t="shared" ref="E996:F996" si="300">SUM(E994:E995)</f>
        <v>0</v>
      </c>
      <c r="F996" s="66">
        <f t="shared" si="300"/>
        <v>0</v>
      </c>
      <c r="G996" s="122">
        <f>SUM(G995)</f>
        <v>6000000</v>
      </c>
      <c r="H996" s="302">
        <f t="shared" ref="H996:J996" si="301">SUM(H995)</f>
        <v>60</v>
      </c>
      <c r="I996" s="122">
        <f t="shared" si="301"/>
        <v>6000000</v>
      </c>
      <c r="J996" s="302">
        <f t="shared" si="301"/>
        <v>60</v>
      </c>
      <c r="K996" s="333">
        <f>SUM(K995)</f>
        <v>0.58333333333333337</v>
      </c>
      <c r="L996" s="302">
        <f t="shared" ref="L996" si="302">SUM(L995)</f>
        <v>60</v>
      </c>
      <c r="M996" s="66"/>
    </row>
    <row r="997" spans="1:13">
      <c r="A997" s="84">
        <v>22</v>
      </c>
      <c r="B997" s="826" t="s">
        <v>87</v>
      </c>
      <c r="C997" s="827"/>
      <c r="D997" s="57"/>
      <c r="E997" s="119"/>
      <c r="F997" s="131"/>
      <c r="G997" s="119"/>
      <c r="H997" s="152"/>
      <c r="I997" s="119"/>
      <c r="J997" s="152"/>
      <c r="K997" s="152"/>
      <c r="L997" s="152"/>
      <c r="M997" s="131"/>
    </row>
    <row r="998" spans="1:13" ht="25.5">
      <c r="A998" s="84"/>
      <c r="B998" s="47" t="s">
        <v>26</v>
      </c>
      <c r="C998" s="95" t="s">
        <v>76</v>
      </c>
      <c r="D998" s="60">
        <v>3500000</v>
      </c>
      <c r="E998" s="125">
        <v>0</v>
      </c>
      <c r="F998" s="135">
        <v>0</v>
      </c>
      <c r="G998" s="197">
        <f>875000+875000</f>
        <v>1750000</v>
      </c>
      <c r="H998" s="312">
        <f>G998/D998*100</f>
        <v>50</v>
      </c>
      <c r="I998" s="197">
        <f>G998</f>
        <v>1750000</v>
      </c>
      <c r="J998" s="314">
        <f t="shared" ref="J998:J999" si="303">I998/D998*100</f>
        <v>50</v>
      </c>
      <c r="K998" s="339">
        <f>7/12</f>
        <v>0.58333333333333337</v>
      </c>
      <c r="L998" s="311">
        <f>J998</f>
        <v>50</v>
      </c>
      <c r="M998" s="132"/>
    </row>
    <row r="999" spans="1:13">
      <c r="A999" s="63"/>
      <c r="B999" s="83"/>
      <c r="C999" s="65" t="s">
        <v>45</v>
      </c>
      <c r="D999" s="66">
        <f>SUM(D998:D998)</f>
        <v>3500000</v>
      </c>
      <c r="E999" s="66">
        <f t="shared" ref="E999:F999" si="304">SUM(E996:E998)</f>
        <v>0</v>
      </c>
      <c r="F999" s="66">
        <f t="shared" si="304"/>
        <v>0</v>
      </c>
      <c r="G999" s="122">
        <f>SUM(G998)</f>
        <v>1750000</v>
      </c>
      <c r="H999" s="535">
        <f>G999/D999*100</f>
        <v>50</v>
      </c>
      <c r="I999" s="122">
        <f>SUM(I998)</f>
        <v>1750000</v>
      </c>
      <c r="J999" s="536">
        <f t="shared" si="303"/>
        <v>50</v>
      </c>
      <c r="K999" s="333">
        <f>SUM(K998)</f>
        <v>0.58333333333333337</v>
      </c>
      <c r="L999" s="302">
        <f>SUM(L998)</f>
        <v>50</v>
      </c>
      <c r="M999" s="66"/>
    </row>
    <row r="1000" spans="1:13">
      <c r="A1000" s="44">
        <v>17</v>
      </c>
      <c r="B1000" s="822" t="s">
        <v>56</v>
      </c>
      <c r="C1000" s="823"/>
      <c r="D1000" s="57"/>
      <c r="E1000" s="119"/>
      <c r="F1000" s="131"/>
      <c r="G1000" s="119"/>
      <c r="H1000" s="152"/>
      <c r="I1000" s="119"/>
      <c r="J1000" s="152"/>
      <c r="K1000" s="152"/>
      <c r="L1000" s="152"/>
      <c r="M1000" s="131"/>
    </row>
    <row r="1001" spans="1:13">
      <c r="A1001" s="44"/>
      <c r="B1001" s="47">
        <v>19</v>
      </c>
      <c r="C1001" s="824" t="s">
        <v>91</v>
      </c>
      <c r="E1001" s="120"/>
      <c r="F1001" s="132"/>
      <c r="G1001" s="119"/>
      <c r="H1001" s="59"/>
      <c r="I1001" s="119"/>
      <c r="J1001" s="59"/>
      <c r="K1001" s="59"/>
      <c r="L1001" s="59"/>
      <c r="M1001" s="132"/>
    </row>
    <row r="1002" spans="1:13">
      <c r="A1002" s="44"/>
      <c r="B1002" s="163"/>
      <c r="C1002" s="825"/>
      <c r="D1002" s="60">
        <v>25000000</v>
      </c>
      <c r="E1002" s="164">
        <v>0</v>
      </c>
      <c r="F1002" s="165">
        <v>0</v>
      </c>
      <c r="G1002" s="330">
        <v>10070000</v>
      </c>
      <c r="H1002" s="312">
        <f>G1002/D1002*100</f>
        <v>40.28</v>
      </c>
      <c r="I1002" s="197">
        <f>G1002</f>
        <v>10070000</v>
      </c>
      <c r="J1002" s="314">
        <f t="shared" ref="J1002" si="305">I1002/D1002*100</f>
        <v>40.28</v>
      </c>
      <c r="K1002" s="339">
        <f>7/12</f>
        <v>0.58333333333333337</v>
      </c>
      <c r="L1002" s="314">
        <f>J1002</f>
        <v>40.28</v>
      </c>
      <c r="M1002" s="165"/>
    </row>
    <row r="1003" spans="1:13">
      <c r="A1003" s="63"/>
      <c r="B1003" s="96"/>
      <c r="C1003" s="65" t="s">
        <v>45</v>
      </c>
      <c r="D1003" s="66">
        <f>SUM(D1002:D1002)</f>
        <v>25000000</v>
      </c>
      <c r="E1003" s="122">
        <f>SUM(E1001:E1001)</f>
        <v>0</v>
      </c>
      <c r="F1003" s="137">
        <f>SUM(F1001:F1001)</f>
        <v>0</v>
      </c>
      <c r="G1003" s="122">
        <f>SUM(G1002)</f>
        <v>10070000</v>
      </c>
      <c r="H1003" s="302">
        <f>SUM(H1002)</f>
        <v>40.28</v>
      </c>
      <c r="I1003" s="122">
        <f>SUM(I1002)</f>
        <v>10070000</v>
      </c>
      <c r="J1003" s="324">
        <f>SUM(J1002)</f>
        <v>40.28</v>
      </c>
      <c r="K1003" s="333">
        <f>SUM(K1002)</f>
        <v>0.58333333333333337</v>
      </c>
      <c r="L1003" s="340">
        <f>J1003</f>
        <v>40.28</v>
      </c>
      <c r="M1003" s="137"/>
    </row>
    <row r="1004" spans="1:13">
      <c r="A1004" s="44">
        <v>19</v>
      </c>
      <c r="B1004" s="826" t="s">
        <v>57</v>
      </c>
      <c r="C1004" s="827"/>
      <c r="D1004" s="57"/>
      <c r="E1004" s="119"/>
      <c r="F1004" s="131"/>
      <c r="G1004" s="119"/>
      <c r="H1004" s="152"/>
      <c r="I1004" s="119"/>
      <c r="J1004" s="152"/>
      <c r="K1004" s="152"/>
      <c r="L1004" s="152"/>
      <c r="M1004" s="131"/>
    </row>
    <row r="1005" spans="1:13">
      <c r="A1005" s="44"/>
      <c r="B1005" s="47" t="s">
        <v>26</v>
      </c>
      <c r="C1005" s="48" t="s">
        <v>58</v>
      </c>
      <c r="D1005" s="60">
        <v>15000000</v>
      </c>
      <c r="E1005" s="120">
        <v>0</v>
      </c>
      <c r="F1005" s="132">
        <v>0</v>
      </c>
      <c r="G1005" s="197">
        <v>15000000</v>
      </c>
      <c r="H1005" s="59">
        <f>G1005/D1005*100</f>
        <v>100</v>
      </c>
      <c r="I1005" s="197">
        <f>G1005</f>
        <v>15000000</v>
      </c>
      <c r="J1005" s="301">
        <f>I1005/D1005*100</f>
        <v>100</v>
      </c>
      <c r="K1005" s="339">
        <f>7/12</f>
        <v>0.58333333333333337</v>
      </c>
      <c r="L1005" s="311">
        <f>J1005</f>
        <v>100</v>
      </c>
      <c r="M1005" s="132"/>
    </row>
    <row r="1006" spans="1:13">
      <c r="A1006" s="183"/>
      <c r="B1006" s="64"/>
      <c r="C1006" s="65" t="s">
        <v>45</v>
      </c>
      <c r="D1006" s="66">
        <f>SUM(D1005)</f>
        <v>15000000</v>
      </c>
      <c r="E1006" s="122">
        <f>SUM(E1003:E1003)</f>
        <v>0</v>
      </c>
      <c r="F1006" s="66">
        <f>SUM(F1003:F1003)</f>
        <v>0</v>
      </c>
      <c r="G1006" s="122">
        <f>G1005</f>
        <v>15000000</v>
      </c>
      <c r="H1006" s="66">
        <f>G1006/D1006*100</f>
        <v>100</v>
      </c>
      <c r="I1006" s="122">
        <f>I1005</f>
        <v>15000000</v>
      </c>
      <c r="J1006" s="324">
        <f>I1006/D1006*100</f>
        <v>100</v>
      </c>
      <c r="K1006" s="333">
        <f>SUM(K1005)</f>
        <v>0.58333333333333337</v>
      </c>
      <c r="L1006" s="302">
        <f>SUM(L1005)</f>
        <v>100</v>
      </c>
      <c r="M1006" s="66"/>
    </row>
    <row r="1007" spans="1:13">
      <c r="A1007" s="44">
        <v>32</v>
      </c>
      <c r="B1007" s="97" t="s">
        <v>59</v>
      </c>
      <c r="C1007" s="98"/>
      <c r="D1007" s="57"/>
      <c r="E1007" s="119"/>
      <c r="F1007" s="131"/>
      <c r="G1007" s="119"/>
      <c r="H1007" s="152"/>
      <c r="I1007" s="119"/>
      <c r="J1007" s="152"/>
      <c r="K1007" s="152"/>
      <c r="L1007" s="152"/>
      <c r="M1007" s="131"/>
    </row>
    <row r="1008" spans="1:13">
      <c r="A1008" s="44"/>
      <c r="B1008" s="47" t="s">
        <v>26</v>
      </c>
      <c r="C1008" s="58" t="s">
        <v>60</v>
      </c>
      <c r="D1008" s="60">
        <v>15000000</v>
      </c>
      <c r="E1008" s="120">
        <v>0</v>
      </c>
      <c r="F1008" s="132">
        <v>0</v>
      </c>
      <c r="G1008" s="197">
        <f>750000+225000+ 1500000</f>
        <v>2475000</v>
      </c>
      <c r="H1008" s="301">
        <f>G1008/D1008*100</f>
        <v>16.5</v>
      </c>
      <c r="I1008" s="192">
        <f>G1008</f>
        <v>2475000</v>
      </c>
      <c r="J1008" s="301">
        <f>I1008/D1008*100</f>
        <v>16.5</v>
      </c>
      <c r="K1008" s="339">
        <f>7/12</f>
        <v>0.58333333333333337</v>
      </c>
      <c r="L1008" s="311">
        <f>J1008</f>
        <v>16.5</v>
      </c>
      <c r="M1008" s="132"/>
    </row>
    <row r="1009" spans="1:13">
      <c r="A1009" s="63"/>
      <c r="B1009" s="64"/>
      <c r="C1009" s="65" t="s">
        <v>45</v>
      </c>
      <c r="D1009" s="66">
        <f>SUM(D1008)</f>
        <v>15000000</v>
      </c>
      <c r="E1009" s="122">
        <f>SUM(E1008:E1008)</f>
        <v>0</v>
      </c>
      <c r="F1009" s="66">
        <f>SUM(F1008:F1008)</f>
        <v>0</v>
      </c>
      <c r="G1009" s="122">
        <f>G1008</f>
        <v>2475000</v>
      </c>
      <c r="H1009" s="302">
        <f>G1009/D1009*100</f>
        <v>16.5</v>
      </c>
      <c r="I1009" s="122">
        <f>I1008</f>
        <v>2475000</v>
      </c>
      <c r="J1009" s="302">
        <f>I1009/D1009*100</f>
        <v>16.5</v>
      </c>
      <c r="K1009" s="333">
        <f>SUM(K1008:K1008)</f>
        <v>0.58333333333333337</v>
      </c>
      <c r="L1009" s="302">
        <f>SUM(L1008:L1008)</f>
        <v>16.5</v>
      </c>
      <c r="M1009" s="66"/>
    </row>
    <row r="1010" spans="1:13">
      <c r="A1010" s="99">
        <v>15</v>
      </c>
      <c r="B1010" s="100" t="s">
        <v>77</v>
      </c>
      <c r="C1010" s="540"/>
      <c r="D1010" s="70"/>
      <c r="E1010" s="123"/>
      <c r="F1010" s="134"/>
      <c r="G1010" s="123"/>
      <c r="H1010" s="156"/>
      <c r="I1010" s="123"/>
      <c r="J1010" s="144"/>
      <c r="K1010" s="156"/>
      <c r="L1010" s="156"/>
      <c r="M1010" s="134"/>
    </row>
    <row r="1011" spans="1:13">
      <c r="A1011" s="84"/>
      <c r="B1011" s="101" t="s">
        <v>78</v>
      </c>
      <c r="C1011" s="48"/>
      <c r="D1011" s="102"/>
      <c r="E1011" s="119"/>
      <c r="F1011" s="131"/>
      <c r="G1011" s="119"/>
      <c r="H1011" s="152"/>
      <c r="I1011" s="119"/>
      <c r="J1011" s="59"/>
      <c r="K1011" s="152"/>
      <c r="L1011" s="152"/>
      <c r="M1011" s="131"/>
    </row>
    <row r="1012" spans="1:13">
      <c r="A1012" s="44"/>
      <c r="B1012" s="47" t="s">
        <v>26</v>
      </c>
      <c r="C1012" s="48" t="s">
        <v>79</v>
      </c>
      <c r="D1012" s="60">
        <v>5000000</v>
      </c>
      <c r="E1012" s="120">
        <v>0</v>
      </c>
      <c r="F1012" s="132">
        <v>0</v>
      </c>
      <c r="G1012" s="199">
        <v>5000000</v>
      </c>
      <c r="H1012" s="59">
        <f>G1012/D1012*100</f>
        <v>100</v>
      </c>
      <c r="I1012" s="199">
        <f>G1012</f>
        <v>5000000</v>
      </c>
      <c r="J1012" s="301">
        <f>I1012/D1012*100</f>
        <v>100</v>
      </c>
      <c r="K1012" s="339">
        <f>7/12</f>
        <v>0.58333333333333337</v>
      </c>
      <c r="L1012" s="59">
        <v>0</v>
      </c>
      <c r="M1012" s="132"/>
    </row>
    <row r="1013" spans="1:13">
      <c r="A1013" s="89"/>
      <c r="B1013" s="61" t="s">
        <v>80</v>
      </c>
      <c r="C1013" s="103" t="s">
        <v>104</v>
      </c>
      <c r="D1013" s="91">
        <v>15000000</v>
      </c>
      <c r="E1013" s="127">
        <v>0</v>
      </c>
      <c r="F1013" s="138">
        <v>0</v>
      </c>
      <c r="G1013" s="197">
        <v>15000000</v>
      </c>
      <c r="H1013" s="59">
        <f>G1013/D1013*100</f>
        <v>100</v>
      </c>
      <c r="I1013" s="197">
        <f>G1013</f>
        <v>15000000</v>
      </c>
      <c r="J1013" s="301">
        <f>I1013/D1013*100</f>
        <v>100</v>
      </c>
      <c r="K1013" s="355">
        <f>7/12</f>
        <v>0.58333333333333337</v>
      </c>
      <c r="L1013" s="157">
        <v>0</v>
      </c>
      <c r="M1013" s="136"/>
    </row>
    <row r="1014" spans="1:13">
      <c r="A1014" s="93"/>
      <c r="B1014" s="83"/>
      <c r="C1014" s="65" t="s">
        <v>45</v>
      </c>
      <c r="D1014" s="66">
        <f>SUM(D1012:D1013)</f>
        <v>20000000</v>
      </c>
      <c r="E1014" s="66">
        <f>SUM(E1012:E1013)</f>
        <v>0</v>
      </c>
      <c r="F1014" s="66">
        <f t="shared" ref="F1014" si="306">SUM(F1012:F1013)</f>
        <v>0</v>
      </c>
      <c r="G1014" s="122">
        <f>SUM(G1012:G1013)</f>
        <v>20000000</v>
      </c>
      <c r="H1014" s="302">
        <f>G1014/D1014*100</f>
        <v>100</v>
      </c>
      <c r="I1014" s="537">
        <f>SUM(I1012:I1013)</f>
        <v>20000000</v>
      </c>
      <c r="J1014" s="302">
        <f>I1014/D1014*100</f>
        <v>100</v>
      </c>
      <c r="K1014" s="350">
        <f>7/12</f>
        <v>0.58333333333333337</v>
      </c>
      <c r="L1014" s="66">
        <f t="shared" ref="L1014" si="307">SUM(L1012:L1013)</f>
        <v>0</v>
      </c>
      <c r="M1014" s="66"/>
    </row>
    <row r="1015" spans="1:13">
      <c r="A1015" s="84">
        <v>18</v>
      </c>
      <c r="B1015" s="75" t="s">
        <v>82</v>
      </c>
      <c r="C1015" s="76"/>
      <c r="D1015" s="57"/>
      <c r="E1015" s="119"/>
      <c r="F1015" s="131"/>
      <c r="G1015" s="119"/>
      <c r="H1015" s="152"/>
      <c r="I1015" s="119"/>
      <c r="J1015" s="152"/>
      <c r="K1015" s="152"/>
      <c r="L1015" s="152"/>
      <c r="M1015" s="131"/>
    </row>
    <row r="1016" spans="1:13" ht="26.25">
      <c r="A1016" s="84"/>
      <c r="B1016" s="94" t="s">
        <v>29</v>
      </c>
      <c r="C1016" s="48" t="s">
        <v>92</v>
      </c>
      <c r="D1016" s="60">
        <v>7500000</v>
      </c>
      <c r="E1016" s="120">
        <v>0</v>
      </c>
      <c r="F1016" s="132">
        <v>0</v>
      </c>
      <c r="G1016" s="199">
        <v>7500000</v>
      </c>
      <c r="H1016" s="301">
        <f>G1016/D1016*100</f>
        <v>100</v>
      </c>
      <c r="I1016" s="192">
        <f>G1016</f>
        <v>7500000</v>
      </c>
      <c r="J1016" s="301">
        <f t="shared" ref="J1016" si="308">I1016/D1016*100</f>
        <v>100</v>
      </c>
      <c r="K1016" s="339">
        <f>7/12</f>
        <v>0.58333333333333337</v>
      </c>
      <c r="L1016" s="311">
        <f>J1016</f>
        <v>100</v>
      </c>
      <c r="M1016" s="131"/>
    </row>
    <row r="1017" spans="1:13" ht="26.25">
      <c r="A1017" s="84"/>
      <c r="B1017" s="94" t="s">
        <v>83</v>
      </c>
      <c r="C1017" s="48" t="s">
        <v>93</v>
      </c>
      <c r="D1017" s="62">
        <v>10000000</v>
      </c>
      <c r="E1017" s="121">
        <v>0</v>
      </c>
      <c r="F1017" s="133">
        <v>0</v>
      </c>
      <c r="G1017" s="200">
        <v>10000000</v>
      </c>
      <c r="H1017" s="301">
        <f>G1017/D1017*100</f>
        <v>100</v>
      </c>
      <c r="I1017" s="200">
        <f>G1017</f>
        <v>10000000</v>
      </c>
      <c r="J1017" s="301">
        <f>I1017/D1017*100</f>
        <v>100</v>
      </c>
      <c r="K1017" s="355">
        <f>7/12</f>
        <v>0.58333333333333337</v>
      </c>
      <c r="L1017" s="311">
        <f>J1017</f>
        <v>100</v>
      </c>
      <c r="M1017" s="131"/>
    </row>
    <row r="1018" spans="1:13">
      <c r="A1018" s="93"/>
      <c r="B1018" s="64"/>
      <c r="C1018" s="65" t="s">
        <v>45</v>
      </c>
      <c r="D1018" s="66">
        <f>SUM(D1016:D1017)</f>
        <v>17500000</v>
      </c>
      <c r="E1018" s="66">
        <f t="shared" ref="E1018:F1018" si="309">SUM(E1016:E1017)</f>
        <v>0</v>
      </c>
      <c r="F1018" s="66">
        <f t="shared" si="309"/>
        <v>0</v>
      </c>
      <c r="G1018" s="122">
        <f>SUM(G1016:G1017)</f>
        <v>17500000</v>
      </c>
      <c r="H1018" s="302">
        <f>G1018/D1018*100</f>
        <v>100</v>
      </c>
      <c r="I1018" s="122">
        <f t="shared" ref="I1018" si="310">SUM(I1016:I1017)</f>
        <v>17500000</v>
      </c>
      <c r="J1018" s="302">
        <f>I1018/D1018*100</f>
        <v>100</v>
      </c>
      <c r="K1018" s="350">
        <f>7/12</f>
        <v>0.58333333333333337</v>
      </c>
      <c r="L1018" s="302">
        <f>SUM(L1017:L1017)</f>
        <v>100</v>
      </c>
      <c r="M1018" s="66"/>
    </row>
    <row r="1019" spans="1:13">
      <c r="A1019" s="99">
        <v>26</v>
      </c>
      <c r="B1019" s="104" t="s">
        <v>105</v>
      </c>
      <c r="C1019" s="105"/>
      <c r="D1019" s="57"/>
      <c r="E1019" s="119"/>
      <c r="F1019" s="131"/>
      <c r="G1019" s="119"/>
      <c r="H1019" s="152"/>
      <c r="I1019" s="119"/>
      <c r="J1019" s="152"/>
      <c r="K1019" s="152"/>
      <c r="L1019" s="152"/>
      <c r="M1019" s="131"/>
    </row>
    <row r="1020" spans="1:13">
      <c r="A1020" s="44"/>
      <c r="B1020" s="47" t="s">
        <v>84</v>
      </c>
      <c r="C1020" s="48" t="s">
        <v>106</v>
      </c>
      <c r="D1020" s="60">
        <v>5000000</v>
      </c>
      <c r="E1020" s="120" t="s">
        <v>132</v>
      </c>
      <c r="F1020" s="132">
        <v>0</v>
      </c>
      <c r="G1020" s="120" t="s">
        <v>132</v>
      </c>
      <c r="H1020" s="59" t="s">
        <v>132</v>
      </c>
      <c r="I1020" s="120">
        <v>0</v>
      </c>
      <c r="J1020" s="59" t="s">
        <v>132</v>
      </c>
      <c r="K1020" s="157">
        <v>0</v>
      </c>
      <c r="L1020" s="59">
        <v>0</v>
      </c>
      <c r="M1020" s="132"/>
    </row>
    <row r="1021" spans="1:13">
      <c r="A1021" s="63"/>
      <c r="B1021" s="64"/>
      <c r="C1021" s="65" t="s">
        <v>45</v>
      </c>
      <c r="D1021" s="66">
        <f>SUM(D1020)</f>
        <v>5000000</v>
      </c>
      <c r="E1021" s="66">
        <v>0</v>
      </c>
      <c r="F1021" s="66">
        <f t="shared" ref="F1021" si="311">SUM(F1018:F1020)</f>
        <v>0</v>
      </c>
      <c r="G1021" s="122" t="s">
        <v>132</v>
      </c>
      <c r="H1021" s="66" t="s">
        <v>132</v>
      </c>
      <c r="I1021" s="122" t="s">
        <v>132</v>
      </c>
      <c r="J1021" s="66" t="s">
        <v>132</v>
      </c>
      <c r="K1021" s="66">
        <f>SUM(K1020)</f>
        <v>0</v>
      </c>
      <c r="L1021" s="66">
        <v>0</v>
      </c>
      <c r="M1021" s="66"/>
    </row>
    <row r="1022" spans="1:13">
      <c r="A1022" s="99">
        <v>16</v>
      </c>
      <c r="B1022" s="104" t="s">
        <v>123</v>
      </c>
      <c r="C1022" s="105"/>
      <c r="D1022" s="57"/>
      <c r="E1022" s="119"/>
      <c r="F1022" s="131"/>
      <c r="G1022" s="119"/>
      <c r="H1022" s="152"/>
      <c r="I1022" s="119"/>
      <c r="J1022" s="152"/>
      <c r="K1022" s="152"/>
      <c r="L1022" s="152"/>
      <c r="M1022" s="131"/>
    </row>
    <row r="1023" spans="1:13">
      <c r="A1023" s="84"/>
      <c r="B1023" s="185" t="s">
        <v>124</v>
      </c>
      <c r="C1023" s="186"/>
      <c r="D1023" s="182"/>
      <c r="E1023" s="124"/>
      <c r="F1023" s="131"/>
      <c r="G1023" s="131"/>
      <c r="H1023" s="152"/>
      <c r="I1023" s="131"/>
      <c r="J1023" s="152"/>
      <c r="K1023" s="152"/>
      <c r="L1023" s="152"/>
      <c r="M1023" s="152"/>
    </row>
    <row r="1024" spans="1:13" ht="26.25">
      <c r="A1024" s="44"/>
      <c r="B1024" s="282" t="s">
        <v>46</v>
      </c>
      <c r="C1024" s="50" t="s">
        <v>217</v>
      </c>
      <c r="D1024" s="60">
        <v>27000000</v>
      </c>
      <c r="E1024" s="125">
        <v>0</v>
      </c>
      <c r="F1024" s="135">
        <v>0</v>
      </c>
      <c r="G1024" s="124">
        <v>0</v>
      </c>
      <c r="H1024" s="59" t="s">
        <v>132</v>
      </c>
      <c r="I1024" s="124">
        <v>0</v>
      </c>
      <c r="J1024" s="59" t="s">
        <v>132</v>
      </c>
      <c r="K1024" s="59">
        <v>0</v>
      </c>
      <c r="L1024" s="59">
        <v>0</v>
      </c>
      <c r="M1024" s="59"/>
    </row>
    <row r="1025" spans="1:14">
      <c r="A1025" s="44"/>
      <c r="B1025" s="163" t="s">
        <v>111</v>
      </c>
      <c r="C1025" s="204" t="s">
        <v>81</v>
      </c>
      <c r="D1025" s="205">
        <v>3000000</v>
      </c>
      <c r="E1025" s="125">
        <v>0</v>
      </c>
      <c r="F1025" s="135">
        <v>0</v>
      </c>
      <c r="G1025" s="201" t="s">
        <v>132</v>
      </c>
      <c r="H1025" s="187" t="s">
        <v>132</v>
      </c>
      <c r="I1025" s="201" t="s">
        <v>132</v>
      </c>
      <c r="J1025" s="187" t="s">
        <v>132</v>
      </c>
      <c r="K1025" s="212">
        <v>0</v>
      </c>
      <c r="L1025" s="187"/>
      <c r="M1025" s="188"/>
    </row>
    <row r="1026" spans="1:14">
      <c r="A1026" s="63"/>
      <c r="B1026" s="64"/>
      <c r="C1026" s="65" t="s">
        <v>45</v>
      </c>
      <c r="D1026" s="66">
        <f>SUM(D1024:D1025)</f>
        <v>30000000</v>
      </c>
      <c r="E1026" s="66">
        <f>SUM(E1024:E1025)</f>
        <v>0</v>
      </c>
      <c r="F1026" s="66">
        <f>SUM(F1024:F1025)</f>
        <v>0</v>
      </c>
      <c r="G1026" s="122" t="s">
        <v>132</v>
      </c>
      <c r="H1026" s="66" t="s">
        <v>132</v>
      </c>
      <c r="I1026" s="122">
        <f>SUM(I1024:I1025)</f>
        <v>0</v>
      </c>
      <c r="J1026" s="66" t="s">
        <v>132</v>
      </c>
      <c r="K1026" s="66">
        <f>SUM(K1024:K1025)</f>
        <v>0</v>
      </c>
      <c r="L1026" s="66">
        <f>SUM(L1024:L1025)</f>
        <v>0</v>
      </c>
      <c r="M1026" s="66"/>
    </row>
    <row r="1027" spans="1:14">
      <c r="A1027" s="99">
        <v>17</v>
      </c>
      <c r="B1027" s="104" t="s">
        <v>127</v>
      </c>
      <c r="C1027" s="105"/>
      <c r="D1027" s="57"/>
      <c r="E1027" s="119"/>
      <c r="F1027" s="131"/>
      <c r="G1027" s="119"/>
      <c r="H1027" s="152"/>
      <c r="I1027" s="119"/>
      <c r="J1027" s="152"/>
      <c r="K1027" s="152"/>
      <c r="L1027" s="152"/>
      <c r="M1027" s="131"/>
    </row>
    <row r="1028" spans="1:14" ht="26.25">
      <c r="A1028" s="44"/>
      <c r="B1028" s="47" t="s">
        <v>84</v>
      </c>
      <c r="C1028" s="48" t="s">
        <v>128</v>
      </c>
      <c r="D1028" s="60">
        <v>10000000</v>
      </c>
      <c r="E1028" s="120">
        <v>0</v>
      </c>
      <c r="F1028" s="132">
        <v>0</v>
      </c>
      <c r="G1028" s="120" t="s">
        <v>132</v>
      </c>
      <c r="H1028" s="59" t="s">
        <v>132</v>
      </c>
      <c r="I1028" s="120">
        <v>0</v>
      </c>
      <c r="J1028" s="59" t="s">
        <v>132</v>
      </c>
      <c r="K1028" s="157">
        <v>0</v>
      </c>
      <c r="L1028" s="59">
        <v>0</v>
      </c>
      <c r="M1028" s="132"/>
    </row>
    <row r="1029" spans="1:14">
      <c r="A1029" s="63"/>
      <c r="B1029" s="64"/>
      <c r="C1029" s="65" t="s">
        <v>45</v>
      </c>
      <c r="D1029" s="66">
        <f>SUM(D1028)</f>
        <v>10000000</v>
      </c>
      <c r="E1029" s="66">
        <f t="shared" ref="E1029:F1029" si="312">SUM(E1026:E1028)</f>
        <v>0</v>
      </c>
      <c r="F1029" s="66">
        <f t="shared" si="312"/>
        <v>0</v>
      </c>
      <c r="G1029" s="122" t="s">
        <v>132</v>
      </c>
      <c r="H1029" s="66" t="s">
        <v>132</v>
      </c>
      <c r="I1029" s="122" t="s">
        <v>132</v>
      </c>
      <c r="J1029" s="66" t="s">
        <v>132</v>
      </c>
      <c r="K1029" s="66">
        <f>SUM(K1028)</f>
        <v>0</v>
      </c>
      <c r="L1029" s="66">
        <v>0</v>
      </c>
      <c r="M1029" s="66"/>
    </row>
    <row r="1030" spans="1:14">
      <c r="A1030" s="44">
        <v>18</v>
      </c>
      <c r="B1030" s="104" t="s">
        <v>218</v>
      </c>
      <c r="C1030" s="105"/>
      <c r="D1030" s="70"/>
      <c r="E1030" s="70"/>
      <c r="F1030" s="70"/>
      <c r="G1030" s="287"/>
      <c r="H1030" s="70"/>
      <c r="I1030" s="287"/>
      <c r="J1030" s="70"/>
      <c r="K1030" s="70"/>
      <c r="L1030" s="70"/>
      <c r="M1030" s="70"/>
    </row>
    <row r="1031" spans="1:14" ht="25.5">
      <c r="A1031" s="44"/>
      <c r="B1031" s="283" t="s">
        <v>83</v>
      </c>
      <c r="C1031" s="284" t="s">
        <v>219</v>
      </c>
      <c r="D1031" s="288">
        <v>50000000</v>
      </c>
      <c r="E1031" s="285">
        <v>0</v>
      </c>
      <c r="F1031" s="285">
        <v>0</v>
      </c>
      <c r="G1031" s="286">
        <v>0</v>
      </c>
      <c r="H1031" s="285">
        <v>0</v>
      </c>
      <c r="I1031" s="286">
        <v>0</v>
      </c>
      <c r="J1031" s="285">
        <v>0</v>
      </c>
      <c r="K1031" s="157">
        <v>0</v>
      </c>
      <c r="L1031" s="285">
        <v>0</v>
      </c>
      <c r="M1031" s="285"/>
    </row>
    <row r="1032" spans="1:14">
      <c r="A1032" s="63"/>
      <c r="B1032" s="64"/>
      <c r="C1032" s="65" t="s">
        <v>45</v>
      </c>
      <c r="D1032" s="66">
        <f>SUM(D1031)</f>
        <v>50000000</v>
      </c>
      <c r="E1032" s="66">
        <v>0</v>
      </c>
      <c r="F1032" s="66">
        <v>0</v>
      </c>
      <c r="G1032" s="122">
        <v>0</v>
      </c>
      <c r="H1032" s="66">
        <v>0</v>
      </c>
      <c r="I1032" s="122">
        <v>0</v>
      </c>
      <c r="J1032" s="66">
        <v>0</v>
      </c>
      <c r="K1032" s="66">
        <f>SUM(K1031)</f>
        <v>0</v>
      </c>
      <c r="L1032" s="66">
        <v>0</v>
      </c>
      <c r="M1032" s="66"/>
    </row>
    <row r="1033" spans="1:14">
      <c r="A1033" s="44">
        <v>24</v>
      </c>
      <c r="B1033" s="104" t="s">
        <v>221</v>
      </c>
      <c r="C1033" s="105"/>
      <c r="D1033" s="70"/>
      <c r="E1033" s="70"/>
      <c r="F1033" s="70"/>
      <c r="G1033" s="287"/>
      <c r="H1033" s="70"/>
      <c r="I1033" s="287"/>
      <c r="J1033" s="70"/>
      <c r="K1033" s="70"/>
      <c r="L1033" s="70"/>
      <c r="M1033" s="70"/>
    </row>
    <row r="1034" spans="1:14">
      <c r="A1034" s="44"/>
      <c r="B1034" s="283" t="s">
        <v>83</v>
      </c>
      <c r="C1034" s="284" t="s">
        <v>222</v>
      </c>
      <c r="D1034" s="288">
        <v>50000000</v>
      </c>
      <c r="E1034" s="285">
        <v>0</v>
      </c>
      <c r="F1034" s="285">
        <v>0</v>
      </c>
      <c r="G1034" s="286">
        <v>0</v>
      </c>
      <c r="H1034" s="285">
        <v>0</v>
      </c>
      <c r="I1034" s="286">
        <v>0</v>
      </c>
      <c r="J1034" s="285">
        <v>0</v>
      </c>
      <c r="K1034" s="157">
        <v>0</v>
      </c>
      <c r="L1034" s="285">
        <v>0</v>
      </c>
      <c r="M1034" s="285"/>
    </row>
    <row r="1035" spans="1:14">
      <c r="A1035" s="63"/>
      <c r="B1035" s="64"/>
      <c r="C1035" s="65" t="s">
        <v>45</v>
      </c>
      <c r="D1035" s="66">
        <f>SUM(D1034)</f>
        <v>50000000</v>
      </c>
      <c r="E1035" s="66">
        <v>0</v>
      </c>
      <c r="F1035" s="66">
        <v>0</v>
      </c>
      <c r="G1035" s="122">
        <v>0</v>
      </c>
      <c r="H1035" s="66">
        <v>0</v>
      </c>
      <c r="I1035" s="122">
        <v>0</v>
      </c>
      <c r="J1035" s="66">
        <v>0</v>
      </c>
      <c r="K1035" s="66">
        <f>SUM(K1034)</f>
        <v>0</v>
      </c>
      <c r="L1035" s="66">
        <v>0</v>
      </c>
      <c r="M1035" s="66"/>
    </row>
    <row r="1036" spans="1:14" ht="15.75" thickBot="1">
      <c r="A1036" s="166"/>
      <c r="B1036" s="167" t="s">
        <v>85</v>
      </c>
      <c r="C1036" s="106"/>
      <c r="D1036" s="107">
        <f>D930+D927</f>
        <v>3251325000</v>
      </c>
      <c r="E1036" s="107">
        <f>E930+E927</f>
        <v>0</v>
      </c>
      <c r="F1036" s="107">
        <f>F930+F927</f>
        <v>0</v>
      </c>
      <c r="G1036" s="107">
        <f>G927+G930</f>
        <v>1780126506</v>
      </c>
      <c r="H1036" s="213">
        <f>G1036/D1036*100</f>
        <v>54.750801780812438</v>
      </c>
      <c r="I1036" s="107">
        <f>I930+I927</f>
        <v>1780126506</v>
      </c>
      <c r="J1036" s="213">
        <f>I1036/D1036*100</f>
        <v>54.750801780812438</v>
      </c>
      <c r="K1036" s="425">
        <f>7/12</f>
        <v>0.58333333333333337</v>
      </c>
      <c r="L1036" s="213">
        <f>J1036</f>
        <v>54.750801780812438</v>
      </c>
      <c r="M1036" s="158"/>
      <c r="N1036" s="161">
        <f>D1036-G1036</f>
        <v>1471198494</v>
      </c>
    </row>
    <row r="1037" spans="1:14" ht="15.75" thickTop="1">
      <c r="A1037" s="342"/>
      <c r="B1037" s="343"/>
      <c r="C1037" s="344"/>
      <c r="D1037" s="345"/>
      <c r="E1037" s="345"/>
      <c r="F1037" s="345"/>
      <c r="G1037" s="527"/>
      <c r="H1037" s="529"/>
      <c r="I1037" s="345"/>
      <c r="J1037" s="346"/>
      <c r="K1037" s="347"/>
      <c r="L1037" s="346"/>
      <c r="M1037" s="348"/>
    </row>
    <row r="1038" spans="1:14">
      <c r="A1038" s="168"/>
      <c r="B1038" s="169"/>
      <c r="C1038" s="170"/>
      <c r="D1038" s="171"/>
      <c r="E1038" s="108"/>
      <c r="G1038" s="526"/>
      <c r="H1038" s="128"/>
      <c r="I1038" s="159" t="s">
        <v>490</v>
      </c>
      <c r="J1038" s="128"/>
      <c r="L1038" s="128"/>
      <c r="M1038" s="128"/>
    </row>
    <row r="1039" spans="1:14">
      <c r="A1039" s="172"/>
      <c r="B1039" s="169"/>
      <c r="C1039" s="173"/>
      <c r="D1039" s="171"/>
      <c r="E1039" s="174"/>
      <c r="H1039" s="128"/>
      <c r="I1039" s="159" t="s">
        <v>86</v>
      </c>
      <c r="J1039" s="128"/>
      <c r="L1039" s="128"/>
      <c r="M1039" s="128"/>
    </row>
    <row r="1040" spans="1:14">
      <c r="A1040" s="172"/>
      <c r="B1040" s="169"/>
      <c r="C1040" s="173"/>
      <c r="D1040" s="171"/>
      <c r="E1040" s="174"/>
      <c r="H1040" s="128"/>
      <c r="I1040" s="159"/>
      <c r="J1040" s="128"/>
      <c r="L1040" s="128"/>
      <c r="M1040" s="128"/>
    </row>
    <row r="1041" spans="1:13">
      <c r="A1041" s="172"/>
      <c r="B1041" s="169"/>
      <c r="C1041" s="173"/>
      <c r="D1041" s="171"/>
      <c r="E1041" s="108"/>
      <c r="H1041" s="128"/>
      <c r="I1041" s="159"/>
      <c r="J1041" s="128"/>
      <c r="L1041" s="128"/>
      <c r="M1041" s="128"/>
    </row>
    <row r="1042" spans="1:13">
      <c r="A1042" s="175"/>
      <c r="B1042" s="176"/>
      <c r="C1042" s="177"/>
      <c r="D1042" s="171"/>
      <c r="E1042" s="108"/>
      <c r="G1042" s="128" t="s">
        <v>227</v>
      </c>
      <c r="H1042" s="128"/>
      <c r="I1042" s="160" t="s">
        <v>120</v>
      </c>
      <c r="J1042" s="128"/>
      <c r="L1042" s="128"/>
      <c r="M1042" s="128"/>
    </row>
    <row r="1043" spans="1:13">
      <c r="A1043" s="175"/>
      <c r="B1043" s="176"/>
      <c r="C1043" s="177"/>
      <c r="D1043" s="175"/>
      <c r="E1043" s="108"/>
      <c r="H1043" s="128"/>
      <c r="I1043" s="159" t="s">
        <v>491</v>
      </c>
      <c r="J1043" s="128"/>
      <c r="L1043" s="128"/>
      <c r="M1043" s="128"/>
    </row>
    <row r="1044" spans="1:13">
      <c r="A1044" s="175"/>
      <c r="B1044" s="176"/>
      <c r="C1044" s="177"/>
      <c r="D1044" s="175"/>
      <c r="E1044" s="108"/>
      <c r="H1044" s="128"/>
      <c r="I1044" s="159" t="s">
        <v>121</v>
      </c>
      <c r="J1044" s="128"/>
      <c r="L1044" s="128"/>
      <c r="M1044" s="128"/>
    </row>
    <row r="1046" spans="1:13" ht="15.75">
      <c r="A1046" s="832" t="s">
        <v>223</v>
      </c>
      <c r="B1046" s="832"/>
      <c r="C1046" s="832"/>
      <c r="D1046" s="832"/>
      <c r="E1046" s="832"/>
      <c r="F1046" s="832"/>
      <c r="G1046" s="832"/>
      <c r="H1046" s="832"/>
      <c r="I1046" s="832"/>
      <c r="J1046" s="832"/>
      <c r="K1046" s="832"/>
      <c r="L1046" s="832"/>
      <c r="M1046" s="832"/>
    </row>
    <row r="1047" spans="1:13" ht="15.75">
      <c r="A1047" s="832" t="s">
        <v>224</v>
      </c>
      <c r="B1047" s="832"/>
      <c r="C1047" s="832"/>
      <c r="D1047" s="832"/>
      <c r="E1047" s="832"/>
      <c r="F1047" s="832"/>
      <c r="G1047" s="832"/>
      <c r="H1047" s="832"/>
      <c r="I1047" s="832"/>
      <c r="J1047" s="832"/>
      <c r="K1047" s="832"/>
      <c r="L1047" s="832"/>
      <c r="M1047" s="832"/>
    </row>
    <row r="1048" spans="1:13" ht="15.75">
      <c r="A1048" s="541"/>
      <c r="B1048" s="541"/>
      <c r="C1048" s="541"/>
      <c r="D1048" s="541"/>
      <c r="E1048" s="541"/>
      <c r="F1048" s="541"/>
      <c r="G1048" s="303"/>
      <c r="H1048" s="541"/>
      <c r="I1048" s="541"/>
      <c r="J1048" s="541"/>
      <c r="K1048" s="303"/>
      <c r="L1048" s="541"/>
      <c r="M1048" s="541"/>
    </row>
    <row r="1049" spans="1:13" ht="16.5">
      <c r="A1049" s="1" t="s">
        <v>213</v>
      </c>
      <c r="B1049" s="2"/>
      <c r="C1049" s="3" t="s">
        <v>2</v>
      </c>
      <c r="E1049" s="108"/>
      <c r="G1049" s="304"/>
      <c r="H1049" s="4"/>
      <c r="I1049" s="5"/>
      <c r="J1049" s="4"/>
      <c r="M1049" s="4"/>
    </row>
    <row r="1050" spans="1:13" ht="17.25" thickBot="1">
      <c r="A1050" s="14" t="s">
        <v>225</v>
      </c>
      <c r="B1050" s="14"/>
      <c r="C1050" s="292" t="s">
        <v>534</v>
      </c>
      <c r="D1050" s="129"/>
      <c r="E1050" s="109"/>
      <c r="F1050" s="129"/>
      <c r="G1050" s="305"/>
      <c r="H1050" s="14"/>
      <c r="I1050" s="16"/>
      <c r="J1050" s="14"/>
      <c r="K1050" s="129"/>
      <c r="L1050" s="15"/>
      <c r="M1050" s="14"/>
    </row>
    <row r="1051" spans="1:13" ht="15.75" thickTop="1">
      <c r="A1051" s="833" t="s">
        <v>3</v>
      </c>
      <c r="B1051" s="836" t="s">
        <v>4</v>
      </c>
      <c r="C1051" s="837"/>
      <c r="D1051" s="289" t="s">
        <v>5</v>
      </c>
      <c r="E1051" s="110" t="s">
        <v>6</v>
      </c>
      <c r="F1051" s="130"/>
      <c r="G1051" s="842" t="s">
        <v>7</v>
      </c>
      <c r="H1051" s="843"/>
      <c r="I1051" s="843"/>
      <c r="J1051" s="843"/>
      <c r="K1051" s="844" t="s">
        <v>8</v>
      </c>
      <c r="L1051" s="844"/>
      <c r="M1051" s="833" t="s">
        <v>9</v>
      </c>
    </row>
    <row r="1052" spans="1:13">
      <c r="A1052" s="834"/>
      <c r="B1052" s="838"/>
      <c r="C1052" s="839"/>
      <c r="D1052" s="290" t="s">
        <v>10</v>
      </c>
      <c r="E1052" s="111" t="s">
        <v>11</v>
      </c>
      <c r="F1052" s="111" t="s">
        <v>12</v>
      </c>
      <c r="G1052" s="111" t="s">
        <v>13</v>
      </c>
      <c r="H1052" s="845" t="s">
        <v>14</v>
      </c>
      <c r="I1052" s="6" t="s">
        <v>15</v>
      </c>
      <c r="J1052" s="846" t="s">
        <v>14</v>
      </c>
      <c r="K1052" s="321" t="s">
        <v>16</v>
      </c>
      <c r="L1052" s="7" t="s">
        <v>17</v>
      </c>
      <c r="M1052" s="834"/>
    </row>
    <row r="1053" spans="1:13">
      <c r="A1053" s="835"/>
      <c r="B1053" s="840"/>
      <c r="C1053" s="841"/>
      <c r="D1053" s="291" t="s">
        <v>18</v>
      </c>
      <c r="E1053" s="112" t="s">
        <v>18</v>
      </c>
      <c r="F1053" s="112"/>
      <c r="G1053" s="306" t="s">
        <v>19</v>
      </c>
      <c r="H1053" s="835"/>
      <c r="I1053" s="8" t="s">
        <v>19</v>
      </c>
      <c r="J1053" s="847"/>
      <c r="K1053" s="322" t="s">
        <v>233</v>
      </c>
      <c r="L1053" s="9" t="s">
        <v>233</v>
      </c>
      <c r="M1053" s="835"/>
    </row>
    <row r="1054" spans="1:13" ht="15.75" thickBot="1">
      <c r="A1054" s="17">
        <v>1</v>
      </c>
      <c r="B1054" s="828">
        <v>2</v>
      </c>
      <c r="C1054" s="829"/>
      <c r="D1054" s="113">
        <v>3</v>
      </c>
      <c r="E1054" s="113">
        <v>4</v>
      </c>
      <c r="F1054" s="113">
        <v>5</v>
      </c>
      <c r="G1054" s="113">
        <v>6</v>
      </c>
      <c r="H1054" s="18">
        <v>7</v>
      </c>
      <c r="I1054" s="18">
        <v>8</v>
      </c>
      <c r="J1054" s="18">
        <v>9</v>
      </c>
      <c r="K1054" s="113">
        <v>10</v>
      </c>
      <c r="L1054" s="18">
        <v>11</v>
      </c>
      <c r="M1054" s="18">
        <v>12</v>
      </c>
    </row>
    <row r="1055" spans="1:13" ht="15.75" thickBot="1">
      <c r="A1055" s="35" t="s">
        <v>20</v>
      </c>
      <c r="B1055" s="36" t="s">
        <v>21</v>
      </c>
      <c r="C1055" s="37"/>
      <c r="D1055" s="30">
        <f>D1056+D1057</f>
        <v>2257113000</v>
      </c>
      <c r="E1055" s="30">
        <f>E1056</f>
        <v>0</v>
      </c>
      <c r="F1055" s="30">
        <v>0</v>
      </c>
      <c r="G1055" s="30">
        <f>G1056+G1057</f>
        <v>1209658857</v>
      </c>
      <c r="H1055" s="214">
        <f>G1055/D1055*100</f>
        <v>53.593189928904764</v>
      </c>
      <c r="I1055" s="30">
        <f>G1055</f>
        <v>1209658857</v>
      </c>
      <c r="J1055" s="217">
        <f>I1055/D1055*100</f>
        <v>53.593189928904764</v>
      </c>
      <c r="K1055" s="332">
        <f>7/12</f>
        <v>0.58333333333333337</v>
      </c>
      <c r="L1055" s="215">
        <f>J1055</f>
        <v>53.593189928904764</v>
      </c>
      <c r="M1055" s="53"/>
    </row>
    <row r="1056" spans="1:13" ht="15.75" thickBot="1">
      <c r="A1056" s="38" t="s">
        <v>22</v>
      </c>
      <c r="B1056" s="39" t="s">
        <v>23</v>
      </c>
      <c r="C1056" s="40"/>
      <c r="D1056" s="31">
        <v>1872153000</v>
      </c>
      <c r="E1056" s="114">
        <v>0</v>
      </c>
      <c r="F1056" s="30">
        <v>0</v>
      </c>
      <c r="G1056" s="30">
        <v>1009308857</v>
      </c>
      <c r="H1056" s="214">
        <f>G1056/D1056*100</f>
        <v>53.911665179074575</v>
      </c>
      <c r="I1056" s="296">
        <f>G1056</f>
        <v>1009308857</v>
      </c>
      <c r="J1056" s="217">
        <f>I1056/D1056*100</f>
        <v>53.911665179074575</v>
      </c>
      <c r="K1056" s="332">
        <f>7/12</f>
        <v>0.58333333333333337</v>
      </c>
      <c r="L1056" s="215">
        <f>J1056</f>
        <v>53.911665179074575</v>
      </c>
      <c r="M1056" s="146"/>
    </row>
    <row r="1057" spans="1:14" ht="15.75" thickBot="1">
      <c r="A1057" s="139"/>
      <c r="B1057" s="140" t="s">
        <v>107</v>
      </c>
      <c r="C1057" s="141"/>
      <c r="D1057" s="31">
        <v>384960000</v>
      </c>
      <c r="E1057" s="114">
        <v>0</v>
      </c>
      <c r="F1057" s="30">
        <v>0</v>
      </c>
      <c r="G1057" s="351">
        <v>200350000</v>
      </c>
      <c r="H1057" s="214">
        <f>G1057/D1057*100</f>
        <v>52.04436824605154</v>
      </c>
      <c r="I1057" s="296">
        <f>G1057</f>
        <v>200350000</v>
      </c>
      <c r="J1057" s="217">
        <f>I1057/D1057*100</f>
        <v>52.04436824605154</v>
      </c>
      <c r="K1057" s="332">
        <f>7/12</f>
        <v>0.58333333333333337</v>
      </c>
      <c r="L1057" s="215">
        <f>J1057</f>
        <v>52.04436824605154</v>
      </c>
      <c r="M1057" s="149"/>
    </row>
    <row r="1058" spans="1:14" ht="15.75" thickBot="1">
      <c r="A1058" s="35" t="s">
        <v>24</v>
      </c>
      <c r="B1058" s="36" t="s">
        <v>25</v>
      </c>
      <c r="C1058" s="37"/>
      <c r="D1058" s="30">
        <f>D1075+D1085+D1088+D1092+D1095+D1098+D1104+D1107+D1111+D1114+D1118+D1121+D1124+D1127+D1131+D1134+D1137+D1142+D1146+D1149+D1154+D1157+D1160+D1163</f>
        <v>914982040</v>
      </c>
      <c r="E1058" s="30">
        <v>0</v>
      </c>
      <c r="F1058" s="30">
        <v>0</v>
      </c>
      <c r="G1058" s="30">
        <f>G1075+G1085+G1114+G1118+G1134+G1137+G1124+G1127+G1131+G1146+G1098+G1111+G1142+G1095+G1092+G1121</f>
        <v>570467649</v>
      </c>
      <c r="H1058" s="215">
        <f>G1058/D1058*100</f>
        <v>62.347414928494118</v>
      </c>
      <c r="I1058" s="296">
        <f>G1058</f>
        <v>570467649</v>
      </c>
      <c r="J1058" s="217">
        <f>I1058/D1058*100</f>
        <v>62.347414928494118</v>
      </c>
      <c r="K1058" s="332">
        <f>7/12</f>
        <v>0.58333333333333337</v>
      </c>
      <c r="L1058" s="215">
        <f>J1058</f>
        <v>62.347414928494118</v>
      </c>
      <c r="M1058" s="30"/>
    </row>
    <row r="1059" spans="1:14">
      <c r="A1059" s="41" t="s">
        <v>26</v>
      </c>
      <c r="B1059" s="42" t="s">
        <v>27</v>
      </c>
      <c r="C1059" s="43"/>
      <c r="D1059" s="32"/>
      <c r="E1059" s="115"/>
      <c r="F1059" s="32"/>
      <c r="G1059" s="150"/>
      <c r="H1059" s="151"/>
      <c r="I1059" s="191"/>
      <c r="J1059" s="150"/>
      <c r="K1059" s="32"/>
      <c r="L1059" s="32"/>
      <c r="M1059" s="32"/>
    </row>
    <row r="1060" spans="1:14">
      <c r="A1060" s="44"/>
      <c r="B1060" s="45" t="s">
        <v>26</v>
      </c>
      <c r="C1060" s="46" t="s">
        <v>28</v>
      </c>
      <c r="D1060" s="525">
        <v>6000000</v>
      </c>
      <c r="E1060" s="116">
        <v>0</v>
      </c>
      <c r="F1060" s="131">
        <v>0</v>
      </c>
      <c r="G1060" s="192">
        <f>999000+501000+250000+250000+250000</f>
        <v>2250000</v>
      </c>
      <c r="H1060" s="299">
        <f>G1060/D1060*100</f>
        <v>37.5</v>
      </c>
      <c r="I1060" s="192">
        <f>G1060</f>
        <v>2250000</v>
      </c>
      <c r="J1060" s="301">
        <f>H1060</f>
        <v>37.5</v>
      </c>
      <c r="K1060" s="331">
        <f>7/12</f>
        <v>0.58333333333333337</v>
      </c>
      <c r="L1060" s="311">
        <f>J1060</f>
        <v>37.5</v>
      </c>
      <c r="M1060" s="131"/>
    </row>
    <row r="1061" spans="1:14">
      <c r="A1061" s="44"/>
      <c r="B1061" s="47" t="s">
        <v>29</v>
      </c>
      <c r="C1061" s="48" t="s">
        <v>30</v>
      </c>
      <c r="D1061" s="34">
        <f>8000000-4000000</f>
        <v>4000000</v>
      </c>
      <c r="E1061" s="297">
        <v>0</v>
      </c>
      <c r="F1061" s="132">
        <v>0</v>
      </c>
      <c r="G1061" s="192">
        <v>1528715</v>
      </c>
      <c r="H1061" s="299">
        <f t="shared" ref="H1061:H1062" si="313">G1061/D1061*100</f>
        <v>38.217874999999999</v>
      </c>
      <c r="I1061" s="192">
        <f>G1061</f>
        <v>1528715</v>
      </c>
      <c r="J1061" s="301">
        <f>I1061/D1061*100</f>
        <v>38.217874999999999</v>
      </c>
      <c r="K1061" s="331">
        <f t="shared" ref="K1061:K1073" si="314">7/12</f>
        <v>0.58333333333333337</v>
      </c>
      <c r="L1061" s="311">
        <f t="shared" ref="L1061:L1074" si="315">J1061</f>
        <v>38.217874999999999</v>
      </c>
      <c r="M1061" s="132"/>
    </row>
    <row r="1062" spans="1:14">
      <c r="A1062" s="44"/>
      <c r="B1062" s="47" t="s">
        <v>29</v>
      </c>
      <c r="C1062" s="48" t="s">
        <v>31</v>
      </c>
      <c r="D1062" s="34">
        <v>5000000</v>
      </c>
      <c r="E1062" s="297">
        <v>0</v>
      </c>
      <c r="F1062" s="132">
        <v>0</v>
      </c>
      <c r="G1062" s="192">
        <v>1870150</v>
      </c>
      <c r="H1062" s="299">
        <f t="shared" si="313"/>
        <v>37.402999999999999</v>
      </c>
      <c r="I1062" s="192">
        <f t="shared" ref="I1062:I1063" si="316">G1062</f>
        <v>1870150</v>
      </c>
      <c r="J1062" s="301">
        <f t="shared" ref="J1062:J1071" si="317">I1062/D1062*100</f>
        <v>37.402999999999999</v>
      </c>
      <c r="K1062" s="331">
        <f t="shared" si="314"/>
        <v>0.58333333333333337</v>
      </c>
      <c r="L1062" s="311">
        <f t="shared" si="315"/>
        <v>37.402999999999999</v>
      </c>
      <c r="M1062" s="132"/>
    </row>
    <row r="1063" spans="1:14">
      <c r="A1063" s="44"/>
      <c r="B1063" s="47" t="s">
        <v>29</v>
      </c>
      <c r="C1063" s="48" t="s">
        <v>32</v>
      </c>
      <c r="D1063" s="34">
        <f>12000000-4000000</f>
        <v>8000000</v>
      </c>
      <c r="E1063" s="297">
        <v>0</v>
      </c>
      <c r="F1063" s="132">
        <v>0</v>
      </c>
      <c r="G1063" s="192">
        <v>3787684</v>
      </c>
      <c r="H1063" s="299">
        <f>G1063/D1063*100</f>
        <v>47.346049999999998</v>
      </c>
      <c r="I1063" s="192">
        <f t="shared" si="316"/>
        <v>3787684</v>
      </c>
      <c r="J1063" s="301">
        <f t="shared" si="317"/>
        <v>47.346049999999998</v>
      </c>
      <c r="K1063" s="331">
        <f t="shared" si="314"/>
        <v>0.58333333333333337</v>
      </c>
      <c r="L1063" s="311">
        <f t="shared" si="315"/>
        <v>47.346049999999998</v>
      </c>
      <c r="M1063" s="132"/>
    </row>
    <row r="1064" spans="1:14">
      <c r="A1064" s="44"/>
      <c r="B1064" s="47" t="s">
        <v>33</v>
      </c>
      <c r="C1064" s="48" t="s">
        <v>34</v>
      </c>
      <c r="D1064" s="34">
        <v>12105000</v>
      </c>
      <c r="E1064" s="117">
        <v>0</v>
      </c>
      <c r="F1064" s="132">
        <v>0</v>
      </c>
      <c r="G1064" s="192">
        <v>6000000</v>
      </c>
      <c r="H1064" s="299">
        <f t="shared" ref="H1064:H1074" si="318">G1064/D1064*100</f>
        <v>49.566294919454776</v>
      </c>
      <c r="I1064" s="192">
        <f>G1064</f>
        <v>6000000</v>
      </c>
      <c r="J1064" s="301">
        <f t="shared" si="317"/>
        <v>49.566294919454776</v>
      </c>
      <c r="K1064" s="331">
        <f t="shared" si="314"/>
        <v>0.58333333333333337</v>
      </c>
      <c r="L1064" s="311">
        <f t="shared" si="315"/>
        <v>49.566294919454776</v>
      </c>
      <c r="M1064" s="132"/>
    </row>
    <row r="1065" spans="1:14">
      <c r="A1065" s="44"/>
      <c r="B1065" s="47">
        <v>10</v>
      </c>
      <c r="C1065" s="48" t="s">
        <v>35</v>
      </c>
      <c r="D1065" s="34">
        <v>11895000</v>
      </c>
      <c r="E1065" s="117">
        <v>0</v>
      </c>
      <c r="F1065" s="132">
        <v>0</v>
      </c>
      <c r="G1065" s="192">
        <f>1500000+1000000+1000000+2250000</f>
        <v>5750000</v>
      </c>
      <c r="H1065" s="299">
        <f t="shared" si="318"/>
        <v>48.339638503572928</v>
      </c>
      <c r="I1065" s="192">
        <f t="shared" ref="I1065:I1068" si="319">G1065</f>
        <v>5750000</v>
      </c>
      <c r="J1065" s="301">
        <f t="shared" si="317"/>
        <v>48.339638503572928</v>
      </c>
      <c r="K1065" s="331">
        <f t="shared" si="314"/>
        <v>0.58333333333333337</v>
      </c>
      <c r="L1065" s="311">
        <f t="shared" si="315"/>
        <v>48.339638503572928</v>
      </c>
      <c r="M1065" s="132"/>
    </row>
    <row r="1066" spans="1:14">
      <c r="A1066" s="44"/>
      <c r="B1066" s="47">
        <v>11</v>
      </c>
      <c r="C1066" s="48" t="s">
        <v>36</v>
      </c>
      <c r="D1066" s="34">
        <v>6000000</v>
      </c>
      <c r="E1066" s="117">
        <v>0</v>
      </c>
      <c r="F1066" s="132">
        <v>0</v>
      </c>
      <c r="G1066" s="192">
        <f>1000000+500000+750000+1700000</f>
        <v>3950000</v>
      </c>
      <c r="H1066" s="299">
        <f t="shared" si="318"/>
        <v>65.833333333333329</v>
      </c>
      <c r="I1066" s="192">
        <f t="shared" si="319"/>
        <v>3950000</v>
      </c>
      <c r="J1066" s="301">
        <f t="shared" si="317"/>
        <v>65.833333333333329</v>
      </c>
      <c r="K1066" s="331">
        <f t="shared" si="314"/>
        <v>0.58333333333333337</v>
      </c>
      <c r="L1066" s="311">
        <f t="shared" si="315"/>
        <v>65.833333333333329</v>
      </c>
      <c r="M1066" s="132"/>
    </row>
    <row r="1067" spans="1:14">
      <c r="A1067" s="44"/>
      <c r="B1067" s="47">
        <v>11</v>
      </c>
      <c r="C1067" s="48" t="s">
        <v>37</v>
      </c>
      <c r="D1067" s="34">
        <v>18000000</v>
      </c>
      <c r="E1067" s="117">
        <v>0</v>
      </c>
      <c r="F1067" s="132">
        <v>0</v>
      </c>
      <c r="G1067" s="192">
        <f>2525600+17850+34600+34000+2524800</f>
        <v>5136850</v>
      </c>
      <c r="H1067" s="299">
        <f t="shared" si="318"/>
        <v>28.538055555555559</v>
      </c>
      <c r="I1067" s="192">
        <f t="shared" si="319"/>
        <v>5136850</v>
      </c>
      <c r="J1067" s="301">
        <f t="shared" si="317"/>
        <v>28.538055555555559</v>
      </c>
      <c r="K1067" s="331">
        <f t="shared" si="314"/>
        <v>0.58333333333333337</v>
      </c>
      <c r="L1067" s="311">
        <f t="shared" si="315"/>
        <v>28.538055555555559</v>
      </c>
      <c r="M1067" s="132"/>
    </row>
    <row r="1068" spans="1:14">
      <c r="A1068" s="44"/>
      <c r="B1068" s="47">
        <v>12</v>
      </c>
      <c r="C1068" s="48" t="s">
        <v>38</v>
      </c>
      <c r="D1068" s="34">
        <v>5000000</v>
      </c>
      <c r="E1068" s="117">
        <v>0</v>
      </c>
      <c r="F1068" s="132">
        <v>0</v>
      </c>
      <c r="G1068" s="192">
        <v>2500000</v>
      </c>
      <c r="H1068" s="299">
        <f t="shared" si="318"/>
        <v>50</v>
      </c>
      <c r="I1068" s="192">
        <f t="shared" si="319"/>
        <v>2500000</v>
      </c>
      <c r="J1068" s="301">
        <f t="shared" si="317"/>
        <v>50</v>
      </c>
      <c r="K1068" s="331">
        <f t="shared" si="314"/>
        <v>0.58333333333333337</v>
      </c>
      <c r="L1068" s="311">
        <f t="shared" si="315"/>
        <v>50</v>
      </c>
      <c r="M1068" s="132"/>
    </row>
    <row r="1069" spans="1:14">
      <c r="A1069" s="44"/>
      <c r="B1069" s="47">
        <v>13</v>
      </c>
      <c r="C1069" s="48" t="s">
        <v>39</v>
      </c>
      <c r="D1069" s="34">
        <v>5000000</v>
      </c>
      <c r="E1069" s="117">
        <v>0</v>
      </c>
      <c r="F1069" s="132">
        <v>0</v>
      </c>
      <c r="G1069" s="192">
        <f>1000000+250000+500000+745000</f>
        <v>2495000</v>
      </c>
      <c r="H1069" s="299">
        <f t="shared" si="318"/>
        <v>49.9</v>
      </c>
      <c r="I1069" s="192">
        <f>G1069</f>
        <v>2495000</v>
      </c>
      <c r="J1069" s="301">
        <f t="shared" si="317"/>
        <v>49.9</v>
      </c>
      <c r="K1069" s="331">
        <f t="shared" si="314"/>
        <v>0.58333333333333337</v>
      </c>
      <c r="L1069" s="311">
        <f t="shared" si="315"/>
        <v>49.9</v>
      </c>
      <c r="M1069" s="132"/>
    </row>
    <row r="1070" spans="1:14">
      <c r="A1070" s="44"/>
      <c r="B1070" s="47">
        <v>15</v>
      </c>
      <c r="C1070" s="48" t="s">
        <v>40</v>
      </c>
      <c r="D1070" s="34">
        <v>3000000</v>
      </c>
      <c r="E1070" s="117">
        <v>0</v>
      </c>
      <c r="F1070" s="132">
        <v>0</v>
      </c>
      <c r="G1070" s="192">
        <f>260000+140000+260000+140000</f>
        <v>800000</v>
      </c>
      <c r="H1070" s="299">
        <f t="shared" si="318"/>
        <v>26.666666666666668</v>
      </c>
      <c r="I1070" s="192">
        <f t="shared" ref="I1070:I1071" si="320">G1070</f>
        <v>800000</v>
      </c>
      <c r="J1070" s="301">
        <f t="shared" si="317"/>
        <v>26.666666666666668</v>
      </c>
      <c r="K1070" s="331">
        <f t="shared" si="314"/>
        <v>0.58333333333333337</v>
      </c>
      <c r="L1070" s="311">
        <f t="shared" si="315"/>
        <v>26.666666666666668</v>
      </c>
      <c r="M1070" s="132"/>
    </row>
    <row r="1071" spans="1:14">
      <c r="A1071" s="44"/>
      <c r="B1071" s="47">
        <v>17</v>
      </c>
      <c r="C1071" s="48" t="s">
        <v>41</v>
      </c>
      <c r="D1071" s="34">
        <v>5000000</v>
      </c>
      <c r="E1071" s="117">
        <v>0</v>
      </c>
      <c r="F1071" s="132">
        <v>0</v>
      </c>
      <c r="G1071" s="192">
        <f>1000000+250000+750000</f>
        <v>2000000</v>
      </c>
      <c r="H1071" s="299">
        <f t="shared" si="318"/>
        <v>40</v>
      </c>
      <c r="I1071" s="192">
        <f t="shared" si="320"/>
        <v>2000000</v>
      </c>
      <c r="J1071" s="301">
        <f t="shared" si="317"/>
        <v>40</v>
      </c>
      <c r="K1071" s="331">
        <f t="shared" si="314"/>
        <v>0.58333333333333337</v>
      </c>
      <c r="L1071" s="311">
        <f t="shared" si="315"/>
        <v>40</v>
      </c>
      <c r="M1071" s="132"/>
    </row>
    <row r="1072" spans="1:14">
      <c r="A1072" s="44"/>
      <c r="B1072" s="47">
        <v>17</v>
      </c>
      <c r="C1072" s="48" t="s">
        <v>42</v>
      </c>
      <c r="D1072" s="34">
        <f>7000000+3449040</f>
        <v>10449040</v>
      </c>
      <c r="E1072" s="117">
        <v>0</v>
      </c>
      <c r="F1072" s="132">
        <v>0</v>
      </c>
      <c r="G1072" s="192">
        <f>1200000+400000+1800000</f>
        <v>3400000</v>
      </c>
      <c r="H1072" s="299">
        <f t="shared" si="318"/>
        <v>32.538874384632464</v>
      </c>
      <c r="I1072" s="192">
        <f>G1072</f>
        <v>3400000</v>
      </c>
      <c r="J1072" s="301">
        <f>I1072/D1072*100</f>
        <v>32.538874384632464</v>
      </c>
      <c r="K1072" s="331">
        <f t="shared" si="314"/>
        <v>0.58333333333333337</v>
      </c>
      <c r="L1072" s="311">
        <f t="shared" si="315"/>
        <v>32.538874384632464</v>
      </c>
      <c r="M1072" s="132"/>
      <c r="N1072" s="161">
        <v>181717040</v>
      </c>
    </row>
    <row r="1073" spans="1:14">
      <c r="A1073" s="44"/>
      <c r="B1073" s="47">
        <v>18</v>
      </c>
      <c r="C1073" s="48" t="s">
        <v>43</v>
      </c>
      <c r="D1073" s="34">
        <f>15000000+10028000</f>
        <v>25028000</v>
      </c>
      <c r="E1073" s="117">
        <v>0</v>
      </c>
      <c r="F1073" s="132">
        <v>0</v>
      </c>
      <c r="G1073" s="192">
        <f>1450000+375000+1525000+2900000+200000</f>
        <v>6450000</v>
      </c>
      <c r="H1073" s="299">
        <f t="shared" si="318"/>
        <v>25.77113632731341</v>
      </c>
      <c r="I1073" s="192">
        <f>G1073</f>
        <v>6450000</v>
      </c>
      <c r="J1073" s="301">
        <f t="shared" ref="J1073:J1074" si="321">I1073/D1073*100</f>
        <v>25.77113632731341</v>
      </c>
      <c r="K1073" s="331">
        <f t="shared" si="314"/>
        <v>0.58333333333333337</v>
      </c>
      <c r="L1073" s="311">
        <f t="shared" si="315"/>
        <v>25.77113632731341</v>
      </c>
      <c r="M1073" s="132"/>
    </row>
    <row r="1074" spans="1:14" ht="15.75" thickBot="1">
      <c r="A1074" s="44"/>
      <c r="B1074" s="49">
        <v>19</v>
      </c>
      <c r="C1074" s="50" t="s">
        <v>44</v>
      </c>
      <c r="D1074" s="51">
        <f>51212000+7028000-1000000+307000</f>
        <v>57547000</v>
      </c>
      <c r="E1074" s="298"/>
      <c r="F1074" s="133">
        <v>0</v>
      </c>
      <c r="G1074" s="192">
        <v>28605000</v>
      </c>
      <c r="H1074" s="300">
        <f t="shared" si="318"/>
        <v>49.707195857299254</v>
      </c>
      <c r="I1074" s="192">
        <f t="shared" ref="I1074" si="322">G1074</f>
        <v>28605000</v>
      </c>
      <c r="J1074" s="301">
        <f t="shared" si="321"/>
        <v>49.707195857299254</v>
      </c>
      <c r="K1074" s="331">
        <f>7/12</f>
        <v>0.58333333333333337</v>
      </c>
      <c r="L1074" s="311">
        <f t="shared" si="315"/>
        <v>49.707195857299254</v>
      </c>
      <c r="M1074" s="133"/>
    </row>
    <row r="1075" spans="1:14" ht="15.75" thickBot="1">
      <c r="A1075" s="35"/>
      <c r="B1075" s="52"/>
      <c r="C1075" s="37" t="s">
        <v>45</v>
      </c>
      <c r="D1075" s="53">
        <f>SUM(D1060:D1074)</f>
        <v>182024040</v>
      </c>
      <c r="E1075" s="53">
        <f>SUM(E1060:E1074)</f>
        <v>0</v>
      </c>
      <c r="F1075" s="53">
        <f t="shared" ref="F1075" si="323">SUM(F1060:F1074)</f>
        <v>0</v>
      </c>
      <c r="G1075" s="53">
        <f>SUM(G1060:G1074)</f>
        <v>76523399</v>
      </c>
      <c r="H1075" s="214">
        <f>G1075/D1075*100</f>
        <v>42.040270614804506</v>
      </c>
      <c r="I1075" s="194">
        <f t="shared" ref="I1075" si="324">SUM(I1060:I1074)</f>
        <v>76523399</v>
      </c>
      <c r="J1075" s="214">
        <f>I1075/D1075*100</f>
        <v>42.040270614804506</v>
      </c>
      <c r="K1075" s="332">
        <f>7/12</f>
        <v>0.58333333333333337</v>
      </c>
      <c r="L1075" s="214">
        <f>J1075</f>
        <v>42.040270614804506</v>
      </c>
      <c r="M1075" s="53"/>
      <c r="N1075" s="161">
        <f>D1075-N1072</f>
        <v>307000</v>
      </c>
    </row>
    <row r="1076" spans="1:14">
      <c r="A1076" s="54" t="s">
        <v>29</v>
      </c>
      <c r="B1076" s="55" t="s">
        <v>90</v>
      </c>
      <c r="C1076" s="56"/>
      <c r="D1076" s="57"/>
      <c r="E1076" s="119"/>
      <c r="F1076" s="131"/>
      <c r="G1076" s="152"/>
      <c r="H1076" s="152"/>
      <c r="I1076" s="119"/>
      <c r="J1076" s="152"/>
      <c r="K1076" s="152"/>
      <c r="L1076" s="152"/>
      <c r="M1076" s="131"/>
    </row>
    <row r="1077" spans="1:14">
      <c r="A1077" s="279"/>
      <c r="B1077" s="47" t="s">
        <v>53</v>
      </c>
      <c r="C1077" s="46" t="s">
        <v>216</v>
      </c>
      <c r="D1077" s="80">
        <v>40000000</v>
      </c>
      <c r="E1077" s="119"/>
      <c r="F1077" s="131"/>
      <c r="G1077" s="152">
        <v>40000000</v>
      </c>
      <c r="H1077" s="299">
        <f t="shared" ref="H1077:H1081" si="325">G1077/D1077*100</f>
        <v>100</v>
      </c>
      <c r="I1077" s="119">
        <f>G1077</f>
        <v>40000000</v>
      </c>
      <c r="J1077" s="301">
        <f t="shared" ref="J1077:J1081" si="326">I1077/D1077*100</f>
        <v>100</v>
      </c>
      <c r="K1077" s="331">
        <f>7/12</f>
        <v>0.58333333333333337</v>
      </c>
      <c r="L1077" s="311">
        <f t="shared" ref="L1077" si="327">J1077</f>
        <v>100</v>
      </c>
      <c r="M1077" s="131"/>
    </row>
    <row r="1078" spans="1:14">
      <c r="A1078" s="44"/>
      <c r="B1078" s="47" t="s">
        <v>46</v>
      </c>
      <c r="C1078" s="58" t="s">
        <v>110</v>
      </c>
      <c r="D1078" s="59">
        <f>20000000-1000000</f>
        <v>19000000</v>
      </c>
      <c r="E1078" s="120">
        <v>0</v>
      </c>
      <c r="F1078" s="132">
        <v>0</v>
      </c>
      <c r="G1078" s="119">
        <v>14475000</v>
      </c>
      <c r="H1078" s="299">
        <f t="shared" si="325"/>
        <v>76.18421052631578</v>
      </c>
      <c r="I1078" s="119">
        <f>G1078</f>
        <v>14475000</v>
      </c>
      <c r="J1078" s="301">
        <f t="shared" si="326"/>
        <v>76.18421052631578</v>
      </c>
      <c r="K1078" s="331">
        <f t="shared" ref="K1078:K1083" si="328">7/12</f>
        <v>0.58333333333333337</v>
      </c>
      <c r="L1078" s="311">
        <f>J1078</f>
        <v>76.18421052631578</v>
      </c>
      <c r="M1078" s="132"/>
    </row>
    <row r="1079" spans="1:14">
      <c r="A1079" s="44"/>
      <c r="B1079" s="47">
        <v>21</v>
      </c>
      <c r="C1079" s="48" t="s">
        <v>47</v>
      </c>
      <c r="D1079" s="59">
        <v>30000000</v>
      </c>
      <c r="E1079" s="120">
        <v>0</v>
      </c>
      <c r="F1079" s="132">
        <v>0</v>
      </c>
      <c r="G1079" s="206">
        <v>30000000</v>
      </c>
      <c r="H1079" s="299">
        <f t="shared" si="325"/>
        <v>100</v>
      </c>
      <c r="I1079" s="119">
        <f t="shared" ref="I1079:I1080" si="329">G1079</f>
        <v>30000000</v>
      </c>
      <c r="J1079" s="301">
        <f t="shared" si="326"/>
        <v>100</v>
      </c>
      <c r="K1079" s="331">
        <f t="shared" si="328"/>
        <v>0.58333333333333337</v>
      </c>
      <c r="L1079" s="311">
        <f>J1079</f>
        <v>100</v>
      </c>
      <c r="M1079" s="132"/>
    </row>
    <row r="1080" spans="1:14">
      <c r="A1080" s="44"/>
      <c r="B1080" s="47">
        <v>22</v>
      </c>
      <c r="C1080" s="48" t="s">
        <v>48</v>
      </c>
      <c r="D1080" s="60">
        <v>30000000</v>
      </c>
      <c r="E1080" s="120">
        <v>0</v>
      </c>
      <c r="F1080" s="132">
        <v>0</v>
      </c>
      <c r="G1080" s="206">
        <v>30000000</v>
      </c>
      <c r="H1080" s="299">
        <f t="shared" si="325"/>
        <v>100</v>
      </c>
      <c r="I1080" s="119">
        <f t="shared" si="329"/>
        <v>30000000</v>
      </c>
      <c r="J1080" s="301">
        <f t="shared" si="326"/>
        <v>100</v>
      </c>
      <c r="K1080" s="331">
        <f t="shared" si="328"/>
        <v>0.58333333333333337</v>
      </c>
      <c r="L1080" s="311">
        <f t="shared" ref="L1080" si="330">J1080</f>
        <v>100</v>
      </c>
      <c r="M1080" s="154"/>
    </row>
    <row r="1081" spans="1:14">
      <c r="A1081" s="44"/>
      <c r="B1081" s="47">
        <v>24</v>
      </c>
      <c r="C1081" s="48" t="s">
        <v>49</v>
      </c>
      <c r="D1081" s="60">
        <f>35000000+1000000</f>
        <v>36000000</v>
      </c>
      <c r="E1081" s="120">
        <v>0</v>
      </c>
      <c r="F1081" s="132">
        <v>0</v>
      </c>
      <c r="G1081" s="206">
        <f>6051250+1700000+2418000+4557000</f>
        <v>14726250</v>
      </c>
      <c r="H1081" s="299">
        <f t="shared" si="325"/>
        <v>40.90625</v>
      </c>
      <c r="I1081" s="192">
        <f>G1081</f>
        <v>14726250</v>
      </c>
      <c r="J1081" s="301">
        <f t="shared" si="326"/>
        <v>40.90625</v>
      </c>
      <c r="K1081" s="331">
        <f t="shared" si="328"/>
        <v>0.58333333333333337</v>
      </c>
      <c r="L1081" s="311">
        <f>J1081</f>
        <v>40.90625</v>
      </c>
      <c r="M1081" s="132"/>
    </row>
    <row r="1082" spans="1:14">
      <c r="A1082" s="44"/>
      <c r="B1082" s="47">
        <v>26</v>
      </c>
      <c r="C1082" s="48" t="s">
        <v>50</v>
      </c>
      <c r="D1082" s="60">
        <v>4000000</v>
      </c>
      <c r="E1082" s="120">
        <v>0</v>
      </c>
      <c r="F1082" s="132">
        <v>0</v>
      </c>
      <c r="G1082" s="206">
        <v>2000000</v>
      </c>
      <c r="H1082" s="299">
        <f>G1082/D1082*100</f>
        <v>50</v>
      </c>
      <c r="I1082" s="192">
        <f>G1082</f>
        <v>2000000</v>
      </c>
      <c r="J1082" s="301">
        <f>I1082/D1082*100</f>
        <v>50</v>
      </c>
      <c r="K1082" s="331">
        <f t="shared" si="328"/>
        <v>0.58333333333333337</v>
      </c>
      <c r="L1082" s="311">
        <f t="shared" ref="L1082:L1084" si="331">J1082</f>
        <v>50</v>
      </c>
      <c r="M1082" s="132"/>
    </row>
    <row r="1083" spans="1:14">
      <c r="A1083" s="44"/>
      <c r="B1083" s="47">
        <v>28</v>
      </c>
      <c r="C1083" s="48" t="s">
        <v>51</v>
      </c>
      <c r="D1083" s="60">
        <v>12000000</v>
      </c>
      <c r="E1083" s="120">
        <v>0</v>
      </c>
      <c r="F1083" s="132">
        <v>0</v>
      </c>
      <c r="G1083" s="206">
        <f>300000+300000+2250000+1000000+400000+1250000+500000</f>
        <v>6000000</v>
      </c>
      <c r="H1083" s="299">
        <f t="shared" ref="H1083" si="332">G1083/D1083*100</f>
        <v>50</v>
      </c>
      <c r="I1083" s="192">
        <f>G1083</f>
        <v>6000000</v>
      </c>
      <c r="J1083" s="301">
        <f>I1083/D1083*100</f>
        <v>50</v>
      </c>
      <c r="K1083" s="331">
        <f t="shared" si="328"/>
        <v>0.58333333333333337</v>
      </c>
      <c r="L1083" s="311">
        <f t="shared" si="331"/>
        <v>50</v>
      </c>
      <c r="M1083" s="132"/>
    </row>
    <row r="1084" spans="1:14">
      <c r="A1084" s="44"/>
      <c r="B1084" s="61">
        <v>29</v>
      </c>
      <c r="C1084" s="50" t="s">
        <v>52</v>
      </c>
      <c r="D1084" s="62">
        <v>2000000</v>
      </c>
      <c r="E1084" s="121">
        <v>0</v>
      </c>
      <c r="F1084" s="133">
        <v>0</v>
      </c>
      <c r="G1084" s="197">
        <f>200000+100000+390000</f>
        <v>690000</v>
      </c>
      <c r="H1084" s="312">
        <f>G1084/D1084*100</f>
        <v>34.5</v>
      </c>
      <c r="I1084" s="313">
        <f t="shared" ref="I1084" si="333">G1084</f>
        <v>690000</v>
      </c>
      <c r="J1084" s="314">
        <f t="shared" ref="J1084" si="334">I1084/D1084*100</f>
        <v>34.5</v>
      </c>
      <c r="K1084" s="331">
        <f>7/12</f>
        <v>0.58333333333333337</v>
      </c>
      <c r="L1084" s="311">
        <f t="shared" si="331"/>
        <v>34.5</v>
      </c>
      <c r="M1084" s="133"/>
    </row>
    <row r="1085" spans="1:14">
      <c r="A1085" s="63"/>
      <c r="B1085" s="64"/>
      <c r="C1085" s="65" t="s">
        <v>45</v>
      </c>
      <c r="D1085" s="66">
        <f>SUM(D1077:D1084)</f>
        <v>173000000</v>
      </c>
      <c r="E1085" s="122"/>
      <c r="F1085" s="66"/>
      <c r="G1085" s="285">
        <f>SUM(G1077:G1084)</f>
        <v>137891250</v>
      </c>
      <c r="H1085" s="323">
        <f>G1085/D1085*100</f>
        <v>79.705924855491332</v>
      </c>
      <c r="I1085" s="286">
        <f>SUM(I1077:I1084)</f>
        <v>137891250</v>
      </c>
      <c r="J1085" s="323">
        <f>I1085/D1085*100</f>
        <v>79.705924855491332</v>
      </c>
      <c r="K1085" s="333">
        <f>7/12</f>
        <v>0.58333333333333337</v>
      </c>
      <c r="L1085" s="302">
        <f>J1085</f>
        <v>79.705924855491332</v>
      </c>
      <c r="M1085" s="66"/>
    </row>
    <row r="1086" spans="1:14">
      <c r="A1086" s="67" t="s">
        <v>53</v>
      </c>
      <c r="B1086" s="68" t="s">
        <v>54</v>
      </c>
      <c r="C1086" s="69"/>
      <c r="D1086" s="70"/>
      <c r="E1086" s="123"/>
      <c r="F1086" s="134"/>
      <c r="G1086" s="164"/>
      <c r="H1086" s="148"/>
      <c r="I1086" s="164"/>
      <c r="J1086" s="152"/>
      <c r="K1086" s="152"/>
      <c r="L1086" s="156"/>
      <c r="M1086" s="134"/>
    </row>
    <row r="1087" spans="1:14">
      <c r="A1087" s="44"/>
      <c r="B1087" s="47" t="s">
        <v>26</v>
      </c>
      <c r="C1087" s="48" t="s">
        <v>55</v>
      </c>
      <c r="D1087" s="60">
        <f>25000000-10000000</f>
        <v>15000000</v>
      </c>
      <c r="E1087" s="120">
        <v>0</v>
      </c>
      <c r="F1087" s="208">
        <v>0</v>
      </c>
      <c r="G1087" s="197" t="s">
        <v>132</v>
      </c>
      <c r="H1087" s="59" t="s">
        <v>132</v>
      </c>
      <c r="I1087" s="197" t="s">
        <v>132</v>
      </c>
      <c r="J1087" s="59" t="s">
        <v>132</v>
      </c>
      <c r="K1087" s="59">
        <v>0</v>
      </c>
      <c r="L1087" s="59">
        <v>0</v>
      </c>
      <c r="M1087" s="132"/>
    </row>
    <row r="1088" spans="1:14">
      <c r="A1088" s="63"/>
      <c r="B1088" s="71"/>
      <c r="C1088" s="65" t="s">
        <v>45</v>
      </c>
      <c r="D1088" s="66">
        <f>SUM(D1087:D1087)</f>
        <v>15000000</v>
      </c>
      <c r="E1088" s="122">
        <f>SUM(E1087:E1087)</f>
        <v>0</v>
      </c>
      <c r="F1088" s="202">
        <f>SUM(F1087:F1087)</f>
        <v>0</v>
      </c>
      <c r="G1088" s="122" t="s">
        <v>132</v>
      </c>
      <c r="H1088" s="66" t="s">
        <v>132</v>
      </c>
      <c r="I1088" s="122" t="s">
        <v>132</v>
      </c>
      <c r="J1088" s="155" t="s">
        <v>132</v>
      </c>
      <c r="K1088" s="66">
        <f>SUM(K1087:K1087)</f>
        <v>0</v>
      </c>
      <c r="L1088" s="66">
        <f>SUM(L1087:L1087)</f>
        <v>0</v>
      </c>
      <c r="M1088" s="66"/>
    </row>
    <row r="1089" spans="1:13">
      <c r="A1089" s="44">
        <v>15</v>
      </c>
      <c r="B1089" s="72" t="s">
        <v>61</v>
      </c>
      <c r="C1089" s="73"/>
      <c r="D1089" s="57"/>
      <c r="E1089" s="119"/>
      <c r="F1089" s="209"/>
      <c r="G1089" s="119" t="s">
        <v>132</v>
      </c>
      <c r="H1089" s="152" t="s">
        <v>132</v>
      </c>
      <c r="I1089" s="119" t="s">
        <v>132</v>
      </c>
      <c r="J1089" s="152" t="s">
        <v>132</v>
      </c>
      <c r="K1089" s="152"/>
      <c r="L1089" s="152"/>
      <c r="M1089" s="131"/>
    </row>
    <row r="1090" spans="1:13">
      <c r="A1090" s="44"/>
      <c r="B1090" s="47">
        <v>18</v>
      </c>
      <c r="C1090" s="48" t="s">
        <v>62</v>
      </c>
      <c r="D1090" s="60">
        <v>5000000</v>
      </c>
      <c r="E1090" s="120">
        <v>0</v>
      </c>
      <c r="F1090" s="208">
        <v>0</v>
      </c>
      <c r="G1090" s="120">
        <v>5000000</v>
      </c>
      <c r="H1090" s="299">
        <f t="shared" ref="H1090:H1091" si="335">G1090/D1090*100</f>
        <v>100</v>
      </c>
      <c r="I1090" s="120">
        <f>G1090</f>
        <v>5000000</v>
      </c>
      <c r="J1090" s="301">
        <f>I1090/D1090*100</f>
        <v>100</v>
      </c>
      <c r="K1090" s="331">
        <f>7/12</f>
        <v>0.58333333333333337</v>
      </c>
      <c r="L1090" s="301">
        <f>J1090</f>
        <v>100</v>
      </c>
      <c r="M1090" s="132"/>
    </row>
    <row r="1091" spans="1:13" ht="25.5">
      <c r="A1091" s="44"/>
      <c r="B1091" s="49">
        <v>63</v>
      </c>
      <c r="C1091" s="244" t="s">
        <v>63</v>
      </c>
      <c r="D1091" s="62">
        <v>5000000</v>
      </c>
      <c r="E1091" s="121">
        <v>0</v>
      </c>
      <c r="F1091" s="210">
        <v>0</v>
      </c>
      <c r="G1091" s="121">
        <v>5000000</v>
      </c>
      <c r="H1091" s="300">
        <f t="shared" si="335"/>
        <v>100</v>
      </c>
      <c r="I1091" s="120">
        <f>G1091</f>
        <v>5000000</v>
      </c>
      <c r="J1091" s="314">
        <f>I1091/D1091*100</f>
        <v>100</v>
      </c>
      <c r="K1091" s="331">
        <f>7/12</f>
        <v>0.58333333333333337</v>
      </c>
      <c r="L1091" s="528">
        <f>J1091</f>
        <v>100</v>
      </c>
      <c r="M1091" s="133"/>
    </row>
    <row r="1092" spans="1:13">
      <c r="A1092" s="63"/>
      <c r="B1092" s="64"/>
      <c r="C1092" s="65" t="s">
        <v>45</v>
      </c>
      <c r="D1092" s="66">
        <f>SUM(D1090:D1091)</f>
        <v>10000000</v>
      </c>
      <c r="E1092" s="122">
        <f t="shared" ref="E1092" si="336">SUM(E1090:E1091)</f>
        <v>0</v>
      </c>
      <c r="F1092" s="202">
        <f>SUM(F1090:F1091)</f>
        <v>0</v>
      </c>
      <c r="G1092" s="195">
        <f>SUM(G1090:G1091)</f>
        <v>10000000</v>
      </c>
      <c r="H1092" s="302">
        <f>G1092/D1092*100</f>
        <v>100</v>
      </c>
      <c r="I1092" s="195">
        <f>SUM(I1090:I1091)</f>
        <v>10000000</v>
      </c>
      <c r="J1092" s="323">
        <f>I1092/D1092*100</f>
        <v>100</v>
      </c>
      <c r="K1092" s="356">
        <f>7/12</f>
        <v>0.58333333333333337</v>
      </c>
      <c r="L1092" s="302">
        <f>J1092</f>
        <v>100</v>
      </c>
      <c r="M1092" s="66"/>
    </row>
    <row r="1093" spans="1:13">
      <c r="A1093" s="44">
        <v>30</v>
      </c>
      <c r="B1093" s="77" t="s">
        <v>64</v>
      </c>
      <c r="C1093" s="78"/>
      <c r="D1093" s="57"/>
      <c r="E1093" s="119"/>
      <c r="F1093" s="209"/>
      <c r="G1093" s="119"/>
      <c r="H1093" s="152"/>
      <c r="I1093" s="119"/>
      <c r="J1093" s="152"/>
      <c r="K1093" s="152"/>
      <c r="L1093" s="311"/>
      <c r="M1093" s="131"/>
    </row>
    <row r="1094" spans="1:13">
      <c r="A1094" s="44"/>
      <c r="B1094" s="45">
        <v>2</v>
      </c>
      <c r="C1094" s="79" t="s">
        <v>102</v>
      </c>
      <c r="D1094" s="80">
        <f>200000000-742000</f>
        <v>199258000</v>
      </c>
      <c r="E1094" s="124">
        <v>0</v>
      </c>
      <c r="F1094" s="209">
        <v>0</v>
      </c>
      <c r="G1094" s="124">
        <v>199258000</v>
      </c>
      <c r="H1094" s="312">
        <f t="shared" ref="H1094" si="337">G1094/D1094*100</f>
        <v>100</v>
      </c>
      <c r="I1094" s="120">
        <f>G1094</f>
        <v>199258000</v>
      </c>
      <c r="J1094" s="314">
        <f>I1094/D1094*100</f>
        <v>100</v>
      </c>
      <c r="K1094" s="355">
        <f>7/12</f>
        <v>0.58333333333333337</v>
      </c>
      <c r="L1094" s="311">
        <f>J1094</f>
        <v>100</v>
      </c>
      <c r="M1094" s="131"/>
    </row>
    <row r="1095" spans="1:13">
      <c r="A1095" s="63"/>
      <c r="B1095" s="64"/>
      <c r="C1095" s="65" t="s">
        <v>45</v>
      </c>
      <c r="D1095" s="66">
        <f>SUM(D1093:D1094)</f>
        <v>199258000</v>
      </c>
      <c r="E1095" s="66">
        <f>SUM(E1093:E1094)</f>
        <v>0</v>
      </c>
      <c r="F1095" s="202">
        <f>SUM(F1093:F1094)</f>
        <v>0</v>
      </c>
      <c r="G1095" s="122">
        <f>SUM(G1094)</f>
        <v>199258000</v>
      </c>
      <c r="H1095" s="323">
        <f>G1095/D1095*100</f>
        <v>100</v>
      </c>
      <c r="I1095" s="122">
        <f>SUM(I1094)</f>
        <v>199258000</v>
      </c>
      <c r="J1095" s="323">
        <f>I1095/D1095*100</f>
        <v>100</v>
      </c>
      <c r="K1095" s="356">
        <f>7/12</f>
        <v>0.58333333333333337</v>
      </c>
      <c r="L1095" s="302">
        <f>J1095</f>
        <v>100</v>
      </c>
      <c r="M1095" s="66"/>
    </row>
    <row r="1096" spans="1:13">
      <c r="A1096" s="44">
        <v>21</v>
      </c>
      <c r="B1096" s="81" t="s">
        <v>65</v>
      </c>
      <c r="C1096" s="82"/>
      <c r="D1096" s="57"/>
      <c r="E1096" s="119"/>
      <c r="F1096" s="209"/>
      <c r="G1096" s="119"/>
      <c r="H1096" s="152"/>
      <c r="I1096" s="119"/>
      <c r="J1096" s="152"/>
      <c r="K1096" s="152"/>
      <c r="L1096" s="311"/>
      <c r="M1096" s="131"/>
    </row>
    <row r="1097" spans="1:13">
      <c r="A1097" s="44"/>
      <c r="B1097" s="47" t="s">
        <v>46</v>
      </c>
      <c r="C1097" s="48" t="s">
        <v>66</v>
      </c>
      <c r="D1097" s="60">
        <v>20000000</v>
      </c>
      <c r="E1097" s="125">
        <v>0</v>
      </c>
      <c r="F1097" s="211">
        <v>0</v>
      </c>
      <c r="G1097" s="199">
        <v>20000000</v>
      </c>
      <c r="H1097" s="312">
        <f>G1097/D1097*100</f>
        <v>100</v>
      </c>
      <c r="I1097" s="197">
        <f>G1097</f>
        <v>20000000</v>
      </c>
      <c r="J1097" s="301">
        <f>H1097</f>
        <v>100</v>
      </c>
      <c r="K1097" s="349">
        <f>7/12</f>
        <v>0.58333333333333337</v>
      </c>
      <c r="L1097" s="301">
        <f>J1097</f>
        <v>100</v>
      </c>
      <c r="M1097" s="132"/>
    </row>
    <row r="1098" spans="1:13">
      <c r="A1098" s="63"/>
      <c r="B1098" s="83"/>
      <c r="C1098" s="65" t="s">
        <v>45</v>
      </c>
      <c r="D1098" s="66">
        <f>SUM(D1097:D1097)</f>
        <v>20000000</v>
      </c>
      <c r="E1098" s="66">
        <f t="shared" ref="E1098:F1098" si="338">SUM(E1095:E1097)</f>
        <v>0</v>
      </c>
      <c r="F1098" s="202">
        <f t="shared" si="338"/>
        <v>0</v>
      </c>
      <c r="G1098" s="122">
        <f>SUM(G1097)</f>
        <v>20000000</v>
      </c>
      <c r="H1098" s="323">
        <f>G1098/D1098*100</f>
        <v>100</v>
      </c>
      <c r="I1098" s="122">
        <f>SUM(I1097)</f>
        <v>20000000</v>
      </c>
      <c r="J1098" s="302">
        <f>H1098</f>
        <v>100</v>
      </c>
      <c r="K1098" s="350">
        <f>7/12</f>
        <v>0.58333333333333337</v>
      </c>
      <c r="L1098" s="302">
        <f>SUM(L1097)</f>
        <v>100</v>
      </c>
      <c r="M1098" s="66"/>
    </row>
    <row r="1099" spans="1:13">
      <c r="A1099" s="84">
        <v>18</v>
      </c>
      <c r="B1099" s="826" t="s">
        <v>96</v>
      </c>
      <c r="C1099" s="827"/>
      <c r="D1099" s="57"/>
      <c r="E1099" s="119"/>
      <c r="F1099" s="209"/>
      <c r="G1099" s="119"/>
      <c r="H1099" s="152"/>
      <c r="I1099" s="119"/>
      <c r="J1099" s="152"/>
      <c r="K1099" s="152"/>
      <c r="L1099" s="152"/>
      <c r="M1099" s="131"/>
    </row>
    <row r="1100" spans="1:13">
      <c r="A1100" s="84"/>
      <c r="B1100" s="830" t="s">
        <v>95</v>
      </c>
      <c r="C1100" s="831"/>
      <c r="D1100" s="57"/>
      <c r="E1100" s="124"/>
      <c r="F1100" s="209"/>
      <c r="G1100" s="119"/>
      <c r="H1100" s="152"/>
      <c r="I1100" s="119"/>
      <c r="J1100" s="152"/>
      <c r="K1100" s="152"/>
      <c r="L1100" s="152"/>
      <c r="M1100" s="131"/>
    </row>
    <row r="1101" spans="1:13">
      <c r="A1101" s="44"/>
      <c r="B1101" s="47" t="s">
        <v>26</v>
      </c>
      <c r="C1101" s="48" t="s">
        <v>67</v>
      </c>
      <c r="D1101" s="60">
        <f>20000000+5000000</f>
        <v>25000000</v>
      </c>
      <c r="E1101" s="125">
        <v>0</v>
      </c>
      <c r="F1101" s="211">
        <v>0</v>
      </c>
      <c r="G1101" s="199" t="s">
        <v>132</v>
      </c>
      <c r="H1101" s="59" t="s">
        <v>132</v>
      </c>
      <c r="I1101" s="119" t="str">
        <f t="shared" ref="I1101" si="339">G1101</f>
        <v>-</v>
      </c>
      <c r="J1101" s="59" t="s">
        <v>132</v>
      </c>
      <c r="K1101" s="59">
        <v>0</v>
      </c>
      <c r="L1101" s="59">
        <v>0</v>
      </c>
      <c r="M1101" s="132"/>
    </row>
    <row r="1102" spans="1:13">
      <c r="A1102" s="44"/>
      <c r="B1102" s="47" t="s">
        <v>29</v>
      </c>
      <c r="C1102" s="204" t="s">
        <v>220</v>
      </c>
      <c r="D1102" s="179">
        <v>-7000000</v>
      </c>
      <c r="E1102" s="180">
        <v>0</v>
      </c>
      <c r="F1102" s="181">
        <v>0</v>
      </c>
      <c r="G1102" s="207" t="s">
        <v>132</v>
      </c>
      <c r="H1102" s="148" t="s">
        <v>132</v>
      </c>
      <c r="I1102" s="119" t="s">
        <v>132</v>
      </c>
      <c r="J1102" s="148" t="s">
        <v>132</v>
      </c>
      <c r="K1102" s="59">
        <v>0</v>
      </c>
      <c r="L1102" s="148">
        <v>0</v>
      </c>
      <c r="M1102" s="165"/>
    </row>
    <row r="1103" spans="1:13">
      <c r="A1103" s="44"/>
      <c r="B1103" s="47"/>
      <c r="C1103" s="48" t="s">
        <v>117</v>
      </c>
      <c r="D1103" s="60"/>
      <c r="E1103" s="125"/>
      <c r="F1103" s="135"/>
      <c r="G1103" s="199"/>
      <c r="H1103" s="59"/>
      <c r="I1103" s="197"/>
      <c r="J1103" s="59"/>
      <c r="K1103" s="59"/>
      <c r="L1103" s="59"/>
      <c r="M1103" s="132"/>
    </row>
    <row r="1104" spans="1:13">
      <c r="A1104" s="63"/>
      <c r="B1104" s="71"/>
      <c r="C1104" s="65" t="s">
        <v>45</v>
      </c>
      <c r="D1104" s="66">
        <f>D1101</f>
        <v>25000000</v>
      </c>
      <c r="E1104" s="66">
        <f t="shared" ref="E1104" si="340">SUM(E1101:E1101)</f>
        <v>0</v>
      </c>
      <c r="F1104" s="66">
        <f>SUM(F1101:F1101)</f>
        <v>0</v>
      </c>
      <c r="G1104" s="122" t="s">
        <v>132</v>
      </c>
      <c r="H1104" s="66" t="s">
        <v>132</v>
      </c>
      <c r="I1104" s="122" t="s">
        <v>132</v>
      </c>
      <c r="J1104" s="66" t="s">
        <v>132</v>
      </c>
      <c r="K1104" s="66">
        <f>SUM(K1101:K1103)</f>
        <v>0</v>
      </c>
      <c r="L1104" s="66">
        <f t="shared" ref="L1104" si="341">SUM(L1101:L1101)</f>
        <v>0</v>
      </c>
      <c r="M1104" s="66"/>
    </row>
    <row r="1105" spans="1:13">
      <c r="A1105" s="84">
        <v>17</v>
      </c>
      <c r="B1105" s="826" t="s">
        <v>130</v>
      </c>
      <c r="C1105" s="827"/>
      <c r="D1105" s="57"/>
      <c r="E1105" s="119"/>
      <c r="F1105" s="131"/>
      <c r="G1105" s="119"/>
      <c r="H1105" s="152"/>
      <c r="I1105" s="119"/>
      <c r="J1105" s="152"/>
      <c r="K1105" s="152"/>
      <c r="L1105" s="152"/>
      <c r="M1105" s="131"/>
    </row>
    <row r="1106" spans="1:13">
      <c r="A1106" s="44"/>
      <c r="B1106" s="47" t="s">
        <v>53</v>
      </c>
      <c r="C1106" s="48" t="s">
        <v>131</v>
      </c>
      <c r="D1106" s="60">
        <f>24000000-5000000</f>
        <v>19000000</v>
      </c>
      <c r="E1106" s="125">
        <v>0</v>
      </c>
      <c r="F1106" s="135">
        <v>0</v>
      </c>
      <c r="G1106" s="197">
        <v>19000000</v>
      </c>
      <c r="H1106" s="312">
        <f>G1106/D1106*100</f>
        <v>100</v>
      </c>
      <c r="I1106" s="197">
        <f>G1106</f>
        <v>19000000</v>
      </c>
      <c r="J1106" s="301">
        <f>H1106</f>
        <v>100</v>
      </c>
      <c r="K1106" s="59">
        <v>0</v>
      </c>
      <c r="L1106" s="59">
        <v>0</v>
      </c>
      <c r="M1106" s="132"/>
    </row>
    <row r="1107" spans="1:13">
      <c r="A1107" s="63"/>
      <c r="B1107" s="64"/>
      <c r="C1107" s="65" t="s">
        <v>45</v>
      </c>
      <c r="D1107" s="66">
        <f>SUM(D1106:D1106)</f>
        <v>19000000</v>
      </c>
      <c r="E1107" s="66">
        <f t="shared" ref="E1107:F1107" si="342">SUM(E1105:E1106)</f>
        <v>0</v>
      </c>
      <c r="F1107" s="66">
        <f t="shared" si="342"/>
        <v>0</v>
      </c>
      <c r="G1107" s="122">
        <f>SUM(G1106)</f>
        <v>19000000</v>
      </c>
      <c r="H1107" s="323">
        <f>G1107/D1107*100</f>
        <v>100</v>
      </c>
      <c r="I1107" s="122">
        <f>SUM(I1106)</f>
        <v>19000000</v>
      </c>
      <c r="J1107" s="302">
        <f>H1107</f>
        <v>100</v>
      </c>
      <c r="K1107" s="66">
        <f t="shared" ref="K1107:L1107" si="343">SUM(K1105:K1106)</f>
        <v>0</v>
      </c>
      <c r="L1107" s="66">
        <f t="shared" si="343"/>
        <v>0</v>
      </c>
      <c r="M1107" s="66"/>
    </row>
    <row r="1108" spans="1:13">
      <c r="A1108" s="44">
        <v>15</v>
      </c>
      <c r="B1108" s="542" t="s">
        <v>68</v>
      </c>
      <c r="C1108" s="86"/>
      <c r="D1108" s="57"/>
      <c r="E1108" s="119"/>
      <c r="F1108" s="131"/>
      <c r="G1108" s="119"/>
      <c r="H1108" s="152"/>
      <c r="I1108" s="119"/>
      <c r="J1108" s="152"/>
      <c r="K1108" s="152"/>
      <c r="L1108" s="152"/>
      <c r="M1108" s="131"/>
    </row>
    <row r="1109" spans="1:13" ht="26.25">
      <c r="A1109" s="44"/>
      <c r="B1109" s="49" t="s">
        <v>80</v>
      </c>
      <c r="C1109" s="50" t="s">
        <v>118</v>
      </c>
      <c r="D1109" s="62">
        <f>10000000-2500000</f>
        <v>7500000</v>
      </c>
      <c r="E1109" s="125">
        <v>0</v>
      </c>
      <c r="F1109" s="135">
        <v>0</v>
      </c>
      <c r="G1109" s="119" t="s">
        <v>132</v>
      </c>
      <c r="H1109" s="59" t="s">
        <v>132</v>
      </c>
      <c r="I1109" s="119" t="s">
        <v>132</v>
      </c>
      <c r="J1109" s="59" t="s">
        <v>132</v>
      </c>
      <c r="K1109" s="339">
        <f>7/12</f>
        <v>0.58333333333333337</v>
      </c>
      <c r="L1109" s="59">
        <v>0</v>
      </c>
      <c r="M1109" s="132"/>
    </row>
    <row r="1110" spans="1:13">
      <c r="A1110" s="44"/>
      <c r="B1110" s="49" t="s">
        <v>69</v>
      </c>
      <c r="C1110" s="50" t="s">
        <v>70</v>
      </c>
      <c r="D1110" s="62">
        <v>60000000</v>
      </c>
      <c r="E1110" s="125">
        <v>0</v>
      </c>
      <c r="F1110" s="135">
        <v>0</v>
      </c>
      <c r="G1110" s="197">
        <v>30000000</v>
      </c>
      <c r="H1110" s="312">
        <f>G1110/D1110*100</f>
        <v>50</v>
      </c>
      <c r="I1110" s="197">
        <f>G1110</f>
        <v>30000000</v>
      </c>
      <c r="J1110" s="301">
        <f>H1110</f>
        <v>50</v>
      </c>
      <c r="K1110" s="349">
        <f>7/12</f>
        <v>0.58333333333333337</v>
      </c>
      <c r="L1110" s="301">
        <f>J1110</f>
        <v>50</v>
      </c>
      <c r="M1110" s="132"/>
    </row>
    <row r="1111" spans="1:13">
      <c r="A1111" s="63"/>
      <c r="B1111" s="64"/>
      <c r="C1111" s="65" t="s">
        <v>45</v>
      </c>
      <c r="D1111" s="66">
        <f>SUM(D1109:D1110)</f>
        <v>67500000</v>
      </c>
      <c r="E1111" s="66">
        <f>SUM(E1107:E1110)</f>
        <v>0</v>
      </c>
      <c r="F1111" s="66">
        <f>SUM(F1107:F1110)</f>
        <v>0</v>
      </c>
      <c r="G1111" s="122">
        <f>SUM(G1110)</f>
        <v>30000000</v>
      </c>
      <c r="H1111" s="323">
        <f>G1111/D1111*100</f>
        <v>44.444444444444443</v>
      </c>
      <c r="I1111" s="122">
        <f>SUM(I1110)</f>
        <v>30000000</v>
      </c>
      <c r="J1111" s="302">
        <f>H1111</f>
        <v>44.444444444444443</v>
      </c>
      <c r="K1111" s="356">
        <f>7/12</f>
        <v>0.58333333333333337</v>
      </c>
      <c r="L1111" s="302">
        <f>SUM(L1107:L1110)</f>
        <v>50</v>
      </c>
      <c r="M1111" s="66"/>
    </row>
    <row r="1112" spans="1:13">
      <c r="A1112" s="44">
        <v>16</v>
      </c>
      <c r="B1112" s="81" t="s">
        <v>71</v>
      </c>
      <c r="C1112" s="82"/>
      <c r="D1112" s="57"/>
      <c r="E1112" s="119"/>
      <c r="F1112" s="131"/>
      <c r="G1112" s="119"/>
      <c r="H1112" s="152"/>
      <c r="I1112" s="119"/>
      <c r="J1112" s="152"/>
      <c r="K1112" s="152"/>
      <c r="L1112" s="152"/>
      <c r="M1112" s="131"/>
    </row>
    <row r="1113" spans="1:13">
      <c r="A1113" s="44"/>
      <c r="B1113" s="47" t="s">
        <v>72</v>
      </c>
      <c r="C1113" s="48" t="s">
        <v>73</v>
      </c>
      <c r="D1113" s="60">
        <v>5000000</v>
      </c>
      <c r="E1113" s="120">
        <v>0</v>
      </c>
      <c r="F1113" s="132">
        <v>0</v>
      </c>
      <c r="G1113" s="120">
        <v>5000000</v>
      </c>
      <c r="H1113" s="312">
        <f>G1113/D1113*100</f>
        <v>100</v>
      </c>
      <c r="I1113" s="313">
        <f t="shared" ref="I1113:I1114" si="344">G1113</f>
        <v>5000000</v>
      </c>
      <c r="J1113" s="314">
        <f t="shared" ref="J1113:J1114" si="345">I1113/D1113*100</f>
        <v>100</v>
      </c>
      <c r="K1113" s="339">
        <f>7/12</f>
        <v>0.58333333333333337</v>
      </c>
      <c r="L1113" s="311">
        <f>J1113</f>
        <v>100</v>
      </c>
      <c r="M1113" s="132"/>
    </row>
    <row r="1114" spans="1:13">
      <c r="A1114" s="63"/>
      <c r="B1114" s="83"/>
      <c r="C1114" s="65" t="s">
        <v>45</v>
      </c>
      <c r="D1114" s="66">
        <f>SUM(D1113:D1113)</f>
        <v>5000000</v>
      </c>
      <c r="E1114" s="122">
        <f>SUM(E1113:E1113)</f>
        <v>0</v>
      </c>
      <c r="F1114" s="66">
        <f>SUM(F1113:F1113)</f>
        <v>0</v>
      </c>
      <c r="G1114" s="195">
        <f>G1113</f>
        <v>5000000</v>
      </c>
      <c r="H1114" s="534">
        <f>G1114/D1114*100</f>
        <v>100</v>
      </c>
      <c r="I1114" s="530">
        <f t="shared" si="344"/>
        <v>5000000</v>
      </c>
      <c r="J1114" s="531">
        <f t="shared" si="345"/>
        <v>100</v>
      </c>
      <c r="K1114" s="333">
        <f>SUM(K1113)</f>
        <v>0.58333333333333337</v>
      </c>
      <c r="L1114" s="302">
        <f>SUM(L1113)</f>
        <v>100</v>
      </c>
      <c r="M1114" s="66"/>
    </row>
    <row r="1115" spans="1:13">
      <c r="A1115" s="87" t="s">
        <v>69</v>
      </c>
      <c r="B1115" s="826" t="s">
        <v>89</v>
      </c>
      <c r="C1115" s="827"/>
      <c r="D1115" s="70"/>
      <c r="E1115" s="123"/>
      <c r="F1115" s="134"/>
      <c r="G1115" s="123"/>
      <c r="H1115" s="156"/>
      <c r="I1115" s="123"/>
      <c r="J1115" s="156"/>
      <c r="K1115" s="156"/>
      <c r="L1115" s="156"/>
      <c r="M1115" s="134"/>
    </row>
    <row r="1116" spans="1:13">
      <c r="A1116" s="88"/>
      <c r="B1116" s="830" t="s">
        <v>88</v>
      </c>
      <c r="C1116" s="831"/>
      <c r="D1116" s="57"/>
      <c r="E1116" s="119"/>
      <c r="F1116" s="131"/>
      <c r="G1116" s="119"/>
      <c r="H1116" s="152"/>
      <c r="I1116" s="119"/>
      <c r="J1116" s="152"/>
      <c r="K1116" s="152"/>
      <c r="L1116" s="152"/>
      <c r="M1116" s="131"/>
    </row>
    <row r="1117" spans="1:13">
      <c r="A1117" s="89"/>
      <c r="B1117" s="61" t="s">
        <v>26</v>
      </c>
      <c r="C1117" s="90" t="s">
        <v>74</v>
      </c>
      <c r="D1117" s="91">
        <v>15000000</v>
      </c>
      <c r="E1117" s="126">
        <v>0</v>
      </c>
      <c r="F1117" s="136">
        <v>0</v>
      </c>
      <c r="G1117" s="126">
        <v>15000000</v>
      </c>
      <c r="H1117" s="312">
        <f>G1117/D1117*100</f>
        <v>100</v>
      </c>
      <c r="I1117" s="313">
        <f>G1117</f>
        <v>15000000</v>
      </c>
      <c r="J1117" s="314">
        <f t="shared" ref="J1117:J1118" si="346">I1117/D1117*100</f>
        <v>100</v>
      </c>
      <c r="K1117" s="339">
        <f>7/12</f>
        <v>0.58333333333333337</v>
      </c>
      <c r="L1117" s="311">
        <f>J1117</f>
        <v>100</v>
      </c>
      <c r="M1117" s="136"/>
    </row>
    <row r="1118" spans="1:13">
      <c r="A1118" s="63"/>
      <c r="B1118" s="83"/>
      <c r="C1118" s="65" t="s">
        <v>45</v>
      </c>
      <c r="D1118" s="66">
        <f>SUM(D1117:D1117)</f>
        <v>15000000</v>
      </c>
      <c r="E1118" s="122">
        <f>SUM(E1117:E1117)</f>
        <v>0</v>
      </c>
      <c r="F1118" s="66">
        <f>SUM(F1117:F1117)</f>
        <v>0</v>
      </c>
      <c r="G1118" s="532">
        <f>SUM(G1117)</f>
        <v>15000000</v>
      </c>
      <c r="H1118" s="323">
        <f>G1118/D1118*100</f>
        <v>100</v>
      </c>
      <c r="I1118" s="533">
        <f t="shared" ref="I1118" si="347">G1118</f>
        <v>15000000</v>
      </c>
      <c r="J1118" s="340">
        <f t="shared" si="346"/>
        <v>100</v>
      </c>
      <c r="K1118" s="333">
        <f>SUM(K1117)</f>
        <v>0.58333333333333337</v>
      </c>
      <c r="L1118" s="302">
        <f>SUM(L1117)</f>
        <v>100</v>
      </c>
      <c r="M1118" s="66"/>
    </row>
    <row r="1119" spans="1:13">
      <c r="A1119" s="88"/>
      <c r="B1119" s="826" t="s">
        <v>94</v>
      </c>
      <c r="C1119" s="827"/>
      <c r="D1119" s="57"/>
      <c r="E1119" s="119"/>
      <c r="F1119" s="131"/>
      <c r="G1119" s="119"/>
      <c r="H1119" s="152"/>
      <c r="I1119" s="119"/>
      <c r="J1119" s="152"/>
      <c r="K1119" s="152"/>
      <c r="L1119" s="152"/>
      <c r="M1119" s="131"/>
    </row>
    <row r="1120" spans="1:13">
      <c r="A1120" s="84"/>
      <c r="B1120" s="92" t="s">
        <v>26</v>
      </c>
      <c r="C1120" s="48" t="s">
        <v>134</v>
      </c>
      <c r="D1120" s="60">
        <v>4000000</v>
      </c>
      <c r="E1120" s="125">
        <v>0</v>
      </c>
      <c r="F1120" s="135">
        <v>0</v>
      </c>
      <c r="G1120" s="197">
        <v>4000000</v>
      </c>
      <c r="H1120" s="312">
        <f>G1120/D1120*100</f>
        <v>100</v>
      </c>
      <c r="I1120" s="197">
        <f>G1120</f>
        <v>4000000</v>
      </c>
      <c r="J1120" s="314">
        <f t="shared" ref="J1120:J1121" si="348">I1120/D1120*100</f>
        <v>100</v>
      </c>
      <c r="K1120" s="355">
        <f>7/12</f>
        <v>0.58333333333333337</v>
      </c>
      <c r="L1120" s="301">
        <f>J1120</f>
        <v>100</v>
      </c>
      <c r="M1120" s="132"/>
    </row>
    <row r="1121" spans="1:13">
      <c r="A1121" s="93"/>
      <c r="B1121" s="64"/>
      <c r="C1121" s="65" t="s">
        <v>45</v>
      </c>
      <c r="D1121" s="66">
        <f>SUM(D1120:D1120)</f>
        <v>4000000</v>
      </c>
      <c r="E1121" s="66">
        <f t="shared" ref="E1121:F1121" si="349">SUM(E1115:E1120)</f>
        <v>0</v>
      </c>
      <c r="F1121" s="66">
        <f t="shared" si="349"/>
        <v>0</v>
      </c>
      <c r="G1121" s="122">
        <f>SUM(G1120)</f>
        <v>4000000</v>
      </c>
      <c r="H1121" s="323">
        <f>G1121/D1121*100</f>
        <v>100</v>
      </c>
      <c r="I1121" s="533">
        <f t="shared" ref="I1121" si="350">G1121</f>
        <v>4000000</v>
      </c>
      <c r="J1121" s="340">
        <f t="shared" si="348"/>
        <v>100</v>
      </c>
      <c r="K1121" s="350">
        <f>7/12</f>
        <v>0.58333333333333337</v>
      </c>
      <c r="L1121" s="302">
        <f>J1121</f>
        <v>100</v>
      </c>
      <c r="M1121" s="66"/>
    </row>
    <row r="1122" spans="1:13">
      <c r="A1122" s="84">
        <v>16</v>
      </c>
      <c r="B1122" s="826" t="s">
        <v>75</v>
      </c>
      <c r="C1122" s="827"/>
      <c r="D1122" s="57"/>
      <c r="E1122" s="119"/>
      <c r="F1122" s="131"/>
      <c r="G1122" s="119"/>
      <c r="H1122" s="156"/>
      <c r="I1122" s="123"/>
      <c r="J1122" s="152"/>
      <c r="K1122" s="152"/>
      <c r="L1122" s="152"/>
      <c r="M1122" s="131"/>
    </row>
    <row r="1123" spans="1:13">
      <c r="A1123" s="84"/>
      <c r="B1123" s="94" t="s">
        <v>72</v>
      </c>
      <c r="C1123" s="95" t="s">
        <v>103</v>
      </c>
      <c r="D1123" s="80">
        <v>10000000</v>
      </c>
      <c r="E1123" s="124"/>
      <c r="F1123" s="131"/>
      <c r="G1123" s="218">
        <v>6000000</v>
      </c>
      <c r="H1123" s="312">
        <f>G1123/D1123*100</f>
        <v>60</v>
      </c>
      <c r="I1123" s="313">
        <f t="shared" ref="I1123" si="351">G1123</f>
        <v>6000000</v>
      </c>
      <c r="J1123" s="314">
        <f t="shared" ref="J1123" si="352">I1123/D1123*100</f>
        <v>60</v>
      </c>
      <c r="K1123" s="339">
        <f>7/12</f>
        <v>0.58333333333333337</v>
      </c>
      <c r="L1123" s="311">
        <f>J1123</f>
        <v>60</v>
      </c>
      <c r="M1123" s="131"/>
    </row>
    <row r="1124" spans="1:13">
      <c r="A1124" s="93"/>
      <c r="B1124" s="83"/>
      <c r="C1124" s="65" t="s">
        <v>45</v>
      </c>
      <c r="D1124" s="66">
        <f>SUM(D1123)</f>
        <v>10000000</v>
      </c>
      <c r="E1124" s="66">
        <f t="shared" ref="E1124:F1124" si="353">SUM(E1122:E1123)</f>
        <v>0</v>
      </c>
      <c r="F1124" s="66">
        <f t="shared" si="353"/>
        <v>0</v>
      </c>
      <c r="G1124" s="122">
        <f>SUM(G1123)</f>
        <v>6000000</v>
      </c>
      <c r="H1124" s="302">
        <f t="shared" ref="H1124:J1124" si="354">SUM(H1123)</f>
        <v>60</v>
      </c>
      <c r="I1124" s="122">
        <f t="shared" si="354"/>
        <v>6000000</v>
      </c>
      <c r="J1124" s="302">
        <f t="shared" si="354"/>
        <v>60</v>
      </c>
      <c r="K1124" s="333">
        <f>SUM(K1123)</f>
        <v>0.58333333333333337</v>
      </c>
      <c r="L1124" s="302">
        <f t="shared" ref="L1124" si="355">SUM(L1123)</f>
        <v>60</v>
      </c>
      <c r="M1124" s="66"/>
    </row>
    <row r="1125" spans="1:13">
      <c r="A1125" s="84">
        <v>22</v>
      </c>
      <c r="B1125" s="826" t="s">
        <v>87</v>
      </c>
      <c r="C1125" s="827"/>
      <c r="D1125" s="57"/>
      <c r="E1125" s="119"/>
      <c r="F1125" s="131"/>
      <c r="G1125" s="119"/>
      <c r="H1125" s="152"/>
      <c r="I1125" s="119"/>
      <c r="J1125" s="152"/>
      <c r="K1125" s="152"/>
      <c r="L1125" s="152"/>
      <c r="M1125" s="131"/>
    </row>
    <row r="1126" spans="1:13" ht="25.5">
      <c r="A1126" s="84"/>
      <c r="B1126" s="47" t="s">
        <v>26</v>
      </c>
      <c r="C1126" s="95" t="s">
        <v>76</v>
      </c>
      <c r="D1126" s="60">
        <v>3500000</v>
      </c>
      <c r="E1126" s="125">
        <v>0</v>
      </c>
      <c r="F1126" s="135">
        <v>0</v>
      </c>
      <c r="G1126" s="197">
        <f>875000+875000</f>
        <v>1750000</v>
      </c>
      <c r="H1126" s="312">
        <f>G1126/D1126*100</f>
        <v>50</v>
      </c>
      <c r="I1126" s="197">
        <f>G1126</f>
        <v>1750000</v>
      </c>
      <c r="J1126" s="314">
        <f t="shared" ref="J1126:J1127" si="356">I1126/D1126*100</f>
        <v>50</v>
      </c>
      <c r="K1126" s="339">
        <f>7/12</f>
        <v>0.58333333333333337</v>
      </c>
      <c r="L1126" s="311">
        <f>J1126</f>
        <v>50</v>
      </c>
      <c r="M1126" s="132"/>
    </row>
    <row r="1127" spans="1:13">
      <c r="A1127" s="63"/>
      <c r="B1127" s="83"/>
      <c r="C1127" s="65" t="s">
        <v>45</v>
      </c>
      <c r="D1127" s="66">
        <f>SUM(D1126:D1126)</f>
        <v>3500000</v>
      </c>
      <c r="E1127" s="66">
        <f t="shared" ref="E1127:F1127" si="357">SUM(E1124:E1126)</f>
        <v>0</v>
      </c>
      <c r="F1127" s="66">
        <f t="shared" si="357"/>
        <v>0</v>
      </c>
      <c r="G1127" s="122">
        <f>SUM(G1126)</f>
        <v>1750000</v>
      </c>
      <c r="H1127" s="535">
        <f>G1127/D1127*100</f>
        <v>50</v>
      </c>
      <c r="I1127" s="122">
        <f>SUM(I1126)</f>
        <v>1750000</v>
      </c>
      <c r="J1127" s="536">
        <f t="shared" si="356"/>
        <v>50</v>
      </c>
      <c r="K1127" s="333">
        <f>SUM(K1126)</f>
        <v>0.58333333333333337</v>
      </c>
      <c r="L1127" s="302">
        <f>SUM(L1126)</f>
        <v>50</v>
      </c>
      <c r="M1127" s="66"/>
    </row>
    <row r="1128" spans="1:13">
      <c r="A1128" s="44">
        <v>17</v>
      </c>
      <c r="B1128" s="822" t="s">
        <v>56</v>
      </c>
      <c r="C1128" s="823"/>
      <c r="D1128" s="57"/>
      <c r="E1128" s="119"/>
      <c r="F1128" s="131"/>
      <c r="G1128" s="119"/>
      <c r="H1128" s="152"/>
      <c r="I1128" s="119"/>
      <c r="J1128" s="152"/>
      <c r="K1128" s="152"/>
      <c r="L1128" s="152"/>
      <c r="M1128" s="131"/>
    </row>
    <row r="1129" spans="1:13">
      <c r="A1129" s="44"/>
      <c r="B1129" s="47">
        <v>19</v>
      </c>
      <c r="C1129" s="824" t="s">
        <v>91</v>
      </c>
      <c r="E1129" s="120"/>
      <c r="F1129" s="132"/>
      <c r="G1129" s="119"/>
      <c r="H1129" s="59"/>
      <c r="I1129" s="119"/>
      <c r="J1129" s="59"/>
      <c r="K1129" s="59"/>
      <c r="L1129" s="59"/>
      <c r="M1129" s="132"/>
    </row>
    <row r="1130" spans="1:13">
      <c r="A1130" s="44"/>
      <c r="B1130" s="163"/>
      <c r="C1130" s="825"/>
      <c r="D1130" s="60">
        <v>25000000</v>
      </c>
      <c r="E1130" s="164">
        <v>0</v>
      </c>
      <c r="F1130" s="165">
        <v>0</v>
      </c>
      <c r="G1130" s="330">
        <v>10070000</v>
      </c>
      <c r="H1130" s="312">
        <f>G1130/D1130*100</f>
        <v>40.28</v>
      </c>
      <c r="I1130" s="197">
        <f>G1130</f>
        <v>10070000</v>
      </c>
      <c r="J1130" s="314">
        <f t="shared" ref="J1130" si="358">I1130/D1130*100</f>
        <v>40.28</v>
      </c>
      <c r="K1130" s="339">
        <f>7/12</f>
        <v>0.58333333333333337</v>
      </c>
      <c r="L1130" s="314">
        <f>J1130</f>
        <v>40.28</v>
      </c>
      <c r="M1130" s="165"/>
    </row>
    <row r="1131" spans="1:13">
      <c r="A1131" s="63"/>
      <c r="B1131" s="96"/>
      <c r="C1131" s="65" t="s">
        <v>45</v>
      </c>
      <c r="D1131" s="66">
        <f>SUM(D1130:D1130)</f>
        <v>25000000</v>
      </c>
      <c r="E1131" s="122">
        <f>SUM(E1129:E1129)</f>
        <v>0</v>
      </c>
      <c r="F1131" s="137">
        <f>SUM(F1129:F1129)</f>
        <v>0</v>
      </c>
      <c r="G1131" s="122">
        <f>SUM(G1130)</f>
        <v>10070000</v>
      </c>
      <c r="H1131" s="302">
        <f>SUM(H1130)</f>
        <v>40.28</v>
      </c>
      <c r="I1131" s="122">
        <f>SUM(I1130)</f>
        <v>10070000</v>
      </c>
      <c r="J1131" s="324">
        <f>SUM(J1130)</f>
        <v>40.28</v>
      </c>
      <c r="K1131" s="333">
        <f>SUM(K1130)</f>
        <v>0.58333333333333337</v>
      </c>
      <c r="L1131" s="340">
        <f>J1131</f>
        <v>40.28</v>
      </c>
      <c r="M1131" s="137"/>
    </row>
    <row r="1132" spans="1:13">
      <c r="A1132" s="44">
        <v>19</v>
      </c>
      <c r="B1132" s="826" t="s">
        <v>57</v>
      </c>
      <c r="C1132" s="827"/>
      <c r="D1132" s="57"/>
      <c r="E1132" s="119"/>
      <c r="F1132" s="131"/>
      <c r="G1132" s="119"/>
      <c r="H1132" s="152"/>
      <c r="I1132" s="119"/>
      <c r="J1132" s="152"/>
      <c r="K1132" s="152"/>
      <c r="L1132" s="152"/>
      <c r="M1132" s="131"/>
    </row>
    <row r="1133" spans="1:13">
      <c r="A1133" s="44"/>
      <c r="B1133" s="47" t="s">
        <v>26</v>
      </c>
      <c r="C1133" s="48" t="s">
        <v>58</v>
      </c>
      <c r="D1133" s="60">
        <v>15000000</v>
      </c>
      <c r="E1133" s="120">
        <v>0</v>
      </c>
      <c r="F1133" s="132">
        <v>0</v>
      </c>
      <c r="G1133" s="197">
        <v>15000000</v>
      </c>
      <c r="H1133" s="59">
        <f>G1133/D1133*100</f>
        <v>100</v>
      </c>
      <c r="I1133" s="197">
        <f>G1133</f>
        <v>15000000</v>
      </c>
      <c r="J1133" s="301">
        <f>I1133/D1133*100</f>
        <v>100</v>
      </c>
      <c r="K1133" s="339">
        <f>7/12</f>
        <v>0.58333333333333337</v>
      </c>
      <c r="L1133" s="311">
        <f>J1133</f>
        <v>100</v>
      </c>
      <c r="M1133" s="132"/>
    </row>
    <row r="1134" spans="1:13">
      <c r="A1134" s="183"/>
      <c r="B1134" s="64"/>
      <c r="C1134" s="65" t="s">
        <v>45</v>
      </c>
      <c r="D1134" s="66">
        <f>SUM(D1133)</f>
        <v>15000000</v>
      </c>
      <c r="E1134" s="122">
        <f>SUM(E1131:E1131)</f>
        <v>0</v>
      </c>
      <c r="F1134" s="66">
        <f>SUM(F1131:F1131)</f>
        <v>0</v>
      </c>
      <c r="G1134" s="122">
        <f>G1133</f>
        <v>15000000</v>
      </c>
      <c r="H1134" s="66">
        <f>G1134/D1134*100</f>
        <v>100</v>
      </c>
      <c r="I1134" s="122">
        <f>I1133</f>
        <v>15000000</v>
      </c>
      <c r="J1134" s="324">
        <f>I1134/D1134*100</f>
        <v>100</v>
      </c>
      <c r="K1134" s="333">
        <f>SUM(K1133)</f>
        <v>0.58333333333333337</v>
      </c>
      <c r="L1134" s="302">
        <f>SUM(L1133)</f>
        <v>100</v>
      </c>
      <c r="M1134" s="66"/>
    </row>
    <row r="1135" spans="1:13">
      <c r="A1135" s="44">
        <v>32</v>
      </c>
      <c r="B1135" s="97" t="s">
        <v>59</v>
      </c>
      <c r="C1135" s="98"/>
      <c r="D1135" s="57"/>
      <c r="E1135" s="119"/>
      <c r="F1135" s="131"/>
      <c r="G1135" s="119"/>
      <c r="H1135" s="152"/>
      <c r="I1135" s="119"/>
      <c r="J1135" s="152"/>
      <c r="K1135" s="152"/>
      <c r="L1135" s="152"/>
      <c r="M1135" s="131"/>
    </row>
    <row r="1136" spans="1:13">
      <c r="A1136" s="44"/>
      <c r="B1136" s="47" t="s">
        <v>26</v>
      </c>
      <c r="C1136" s="58" t="s">
        <v>60</v>
      </c>
      <c r="D1136" s="60">
        <v>15000000</v>
      </c>
      <c r="E1136" s="120">
        <v>0</v>
      </c>
      <c r="F1136" s="132">
        <v>0</v>
      </c>
      <c r="G1136" s="197">
        <f>750000+225000+ 1500000</f>
        <v>2475000</v>
      </c>
      <c r="H1136" s="301">
        <f>G1136/D1136*100</f>
        <v>16.5</v>
      </c>
      <c r="I1136" s="192">
        <f>G1136</f>
        <v>2475000</v>
      </c>
      <c r="J1136" s="301">
        <f>I1136/D1136*100</f>
        <v>16.5</v>
      </c>
      <c r="K1136" s="339">
        <f>7/12</f>
        <v>0.58333333333333337</v>
      </c>
      <c r="L1136" s="311">
        <f>J1136</f>
        <v>16.5</v>
      </c>
      <c r="M1136" s="132"/>
    </row>
    <row r="1137" spans="1:13">
      <c r="A1137" s="63"/>
      <c r="B1137" s="64"/>
      <c r="C1137" s="65" t="s">
        <v>45</v>
      </c>
      <c r="D1137" s="66">
        <f>SUM(D1136)</f>
        <v>15000000</v>
      </c>
      <c r="E1137" s="122">
        <f>SUM(E1136:E1136)</f>
        <v>0</v>
      </c>
      <c r="F1137" s="66">
        <f>SUM(F1136:F1136)</f>
        <v>0</v>
      </c>
      <c r="G1137" s="122">
        <f>G1136</f>
        <v>2475000</v>
      </c>
      <c r="H1137" s="302">
        <f>G1137/D1137*100</f>
        <v>16.5</v>
      </c>
      <c r="I1137" s="122">
        <f>I1136</f>
        <v>2475000</v>
      </c>
      <c r="J1137" s="302">
        <f>I1137/D1137*100</f>
        <v>16.5</v>
      </c>
      <c r="K1137" s="333">
        <f>SUM(K1136:K1136)</f>
        <v>0.58333333333333337</v>
      </c>
      <c r="L1137" s="302">
        <f>SUM(L1136:L1136)</f>
        <v>16.5</v>
      </c>
      <c r="M1137" s="66"/>
    </row>
    <row r="1138" spans="1:13">
      <c r="A1138" s="99">
        <v>15</v>
      </c>
      <c r="B1138" s="100" t="s">
        <v>77</v>
      </c>
      <c r="C1138" s="540"/>
      <c r="D1138" s="70"/>
      <c r="E1138" s="123"/>
      <c r="F1138" s="134"/>
      <c r="G1138" s="123"/>
      <c r="H1138" s="156"/>
      <c r="I1138" s="123"/>
      <c r="J1138" s="144"/>
      <c r="K1138" s="156"/>
      <c r="L1138" s="156"/>
      <c r="M1138" s="134"/>
    </row>
    <row r="1139" spans="1:13">
      <c r="A1139" s="84"/>
      <c r="B1139" s="101" t="s">
        <v>78</v>
      </c>
      <c r="C1139" s="48"/>
      <c r="D1139" s="102"/>
      <c r="E1139" s="119"/>
      <c r="F1139" s="131"/>
      <c r="G1139" s="119"/>
      <c r="H1139" s="152"/>
      <c r="I1139" s="119"/>
      <c r="J1139" s="59"/>
      <c r="K1139" s="152"/>
      <c r="L1139" s="152"/>
      <c r="M1139" s="131"/>
    </row>
    <row r="1140" spans="1:13">
      <c r="A1140" s="44"/>
      <c r="B1140" s="47" t="s">
        <v>26</v>
      </c>
      <c r="C1140" s="48" t="s">
        <v>79</v>
      </c>
      <c r="D1140" s="60">
        <v>5000000</v>
      </c>
      <c r="E1140" s="120">
        <v>0</v>
      </c>
      <c r="F1140" s="132">
        <v>0</v>
      </c>
      <c r="G1140" s="199">
        <v>5000000</v>
      </c>
      <c r="H1140" s="59">
        <f>G1140/D1140*100</f>
        <v>100</v>
      </c>
      <c r="I1140" s="199">
        <f>G1140</f>
        <v>5000000</v>
      </c>
      <c r="J1140" s="301">
        <f>I1140/D1140*100</f>
        <v>100</v>
      </c>
      <c r="K1140" s="339">
        <f>7/12</f>
        <v>0.58333333333333337</v>
      </c>
      <c r="L1140" s="59">
        <v>0</v>
      </c>
      <c r="M1140" s="132"/>
    </row>
    <row r="1141" spans="1:13">
      <c r="A1141" s="89"/>
      <c r="B1141" s="61" t="s">
        <v>80</v>
      </c>
      <c r="C1141" s="103" t="s">
        <v>104</v>
      </c>
      <c r="D1141" s="91">
        <v>15000000</v>
      </c>
      <c r="E1141" s="127">
        <v>0</v>
      </c>
      <c r="F1141" s="138">
        <v>0</v>
      </c>
      <c r="G1141" s="197">
        <v>15000000</v>
      </c>
      <c r="H1141" s="59">
        <f>G1141/D1141*100</f>
        <v>100</v>
      </c>
      <c r="I1141" s="197">
        <f>G1141</f>
        <v>15000000</v>
      </c>
      <c r="J1141" s="301">
        <f>I1141/D1141*100</f>
        <v>100</v>
      </c>
      <c r="K1141" s="355">
        <f>7/12</f>
        <v>0.58333333333333337</v>
      </c>
      <c r="L1141" s="157">
        <v>0</v>
      </c>
      <c r="M1141" s="136"/>
    </row>
    <row r="1142" spans="1:13">
      <c r="A1142" s="93"/>
      <c r="B1142" s="83"/>
      <c r="C1142" s="65" t="s">
        <v>45</v>
      </c>
      <c r="D1142" s="66">
        <f>SUM(D1140:D1141)</f>
        <v>20000000</v>
      </c>
      <c r="E1142" s="66">
        <f>SUM(E1140:E1141)</f>
        <v>0</v>
      </c>
      <c r="F1142" s="66">
        <f t="shared" ref="F1142" si="359">SUM(F1140:F1141)</f>
        <v>0</v>
      </c>
      <c r="G1142" s="122">
        <f>SUM(G1140:G1141)</f>
        <v>20000000</v>
      </c>
      <c r="H1142" s="302">
        <f>G1142/D1142*100</f>
        <v>100</v>
      </c>
      <c r="I1142" s="537">
        <f>SUM(I1140:I1141)</f>
        <v>20000000</v>
      </c>
      <c r="J1142" s="302">
        <f>I1142/D1142*100</f>
        <v>100</v>
      </c>
      <c r="K1142" s="350">
        <f>7/12</f>
        <v>0.58333333333333337</v>
      </c>
      <c r="L1142" s="66">
        <f t="shared" ref="L1142" si="360">SUM(L1140:L1141)</f>
        <v>0</v>
      </c>
      <c r="M1142" s="66"/>
    </row>
    <row r="1143" spans="1:13">
      <c r="A1143" s="84">
        <v>18</v>
      </c>
      <c r="B1143" s="75" t="s">
        <v>82</v>
      </c>
      <c r="C1143" s="76"/>
      <c r="D1143" s="57"/>
      <c r="E1143" s="119"/>
      <c r="F1143" s="131"/>
      <c r="G1143" s="119"/>
      <c r="H1143" s="152"/>
      <c r="I1143" s="119"/>
      <c r="J1143" s="152"/>
      <c r="K1143" s="152"/>
      <c r="L1143" s="152"/>
      <c r="M1143" s="131"/>
    </row>
    <row r="1144" spans="1:13" ht="26.25">
      <c r="A1144" s="84"/>
      <c r="B1144" s="94" t="s">
        <v>29</v>
      </c>
      <c r="C1144" s="48" t="s">
        <v>92</v>
      </c>
      <c r="D1144" s="60">
        <v>7500000</v>
      </c>
      <c r="E1144" s="120">
        <v>0</v>
      </c>
      <c r="F1144" s="132">
        <v>0</v>
      </c>
      <c r="G1144" s="199">
        <v>7500000</v>
      </c>
      <c r="H1144" s="301">
        <f>G1144/D1144*100</f>
        <v>100</v>
      </c>
      <c r="I1144" s="192">
        <f>G1144</f>
        <v>7500000</v>
      </c>
      <c r="J1144" s="301">
        <f t="shared" ref="J1144" si="361">I1144/D1144*100</f>
        <v>100</v>
      </c>
      <c r="K1144" s="339">
        <f>7/12</f>
        <v>0.58333333333333337</v>
      </c>
      <c r="L1144" s="311">
        <f>J1144</f>
        <v>100</v>
      </c>
      <c r="M1144" s="131"/>
    </row>
    <row r="1145" spans="1:13" ht="26.25">
      <c r="A1145" s="84"/>
      <c r="B1145" s="94" t="s">
        <v>83</v>
      </c>
      <c r="C1145" s="48" t="s">
        <v>93</v>
      </c>
      <c r="D1145" s="62">
        <v>10000000</v>
      </c>
      <c r="E1145" s="121">
        <v>0</v>
      </c>
      <c r="F1145" s="133">
        <v>0</v>
      </c>
      <c r="G1145" s="200">
        <v>10000000</v>
      </c>
      <c r="H1145" s="301">
        <f>G1145/D1145*100</f>
        <v>100</v>
      </c>
      <c r="I1145" s="200">
        <f>G1145</f>
        <v>10000000</v>
      </c>
      <c r="J1145" s="301">
        <f>I1145/D1145*100</f>
        <v>100</v>
      </c>
      <c r="K1145" s="355">
        <f>7/12</f>
        <v>0.58333333333333337</v>
      </c>
      <c r="L1145" s="311">
        <f>J1145</f>
        <v>100</v>
      </c>
      <c r="M1145" s="131"/>
    </row>
    <row r="1146" spans="1:13">
      <c r="A1146" s="93"/>
      <c r="B1146" s="64"/>
      <c r="C1146" s="65" t="s">
        <v>45</v>
      </c>
      <c r="D1146" s="66">
        <f>SUM(D1144:D1145)</f>
        <v>17500000</v>
      </c>
      <c r="E1146" s="66">
        <f t="shared" ref="E1146:F1146" si="362">SUM(E1144:E1145)</f>
        <v>0</v>
      </c>
      <c r="F1146" s="66">
        <f t="shared" si="362"/>
        <v>0</v>
      </c>
      <c r="G1146" s="122">
        <f>SUM(G1144:G1145)</f>
        <v>17500000</v>
      </c>
      <c r="H1146" s="302">
        <f>G1146/D1146*100</f>
        <v>100</v>
      </c>
      <c r="I1146" s="122">
        <f t="shared" ref="I1146" si="363">SUM(I1144:I1145)</f>
        <v>17500000</v>
      </c>
      <c r="J1146" s="302">
        <f>I1146/D1146*100</f>
        <v>100</v>
      </c>
      <c r="K1146" s="350">
        <f>7/12</f>
        <v>0.58333333333333337</v>
      </c>
      <c r="L1146" s="302">
        <f>SUM(L1145:L1145)</f>
        <v>100</v>
      </c>
      <c r="M1146" s="66"/>
    </row>
    <row r="1147" spans="1:13">
      <c r="A1147" s="99">
        <v>26</v>
      </c>
      <c r="B1147" s="104" t="s">
        <v>105</v>
      </c>
      <c r="C1147" s="105"/>
      <c r="D1147" s="57"/>
      <c r="E1147" s="119"/>
      <c r="F1147" s="131"/>
      <c r="G1147" s="119"/>
      <c r="H1147" s="152"/>
      <c r="I1147" s="119"/>
      <c r="J1147" s="152"/>
      <c r="K1147" s="152"/>
      <c r="L1147" s="152"/>
      <c r="M1147" s="131"/>
    </row>
    <row r="1148" spans="1:13">
      <c r="A1148" s="44"/>
      <c r="B1148" s="47" t="s">
        <v>84</v>
      </c>
      <c r="C1148" s="48" t="s">
        <v>106</v>
      </c>
      <c r="D1148" s="60">
        <v>5000000</v>
      </c>
      <c r="E1148" s="120" t="s">
        <v>132</v>
      </c>
      <c r="F1148" s="132">
        <v>0</v>
      </c>
      <c r="G1148" s="120" t="s">
        <v>132</v>
      </c>
      <c r="H1148" s="59" t="s">
        <v>132</v>
      </c>
      <c r="I1148" s="120">
        <v>0</v>
      </c>
      <c r="J1148" s="59" t="s">
        <v>132</v>
      </c>
      <c r="K1148" s="157">
        <v>0</v>
      </c>
      <c r="L1148" s="59">
        <v>0</v>
      </c>
      <c r="M1148" s="132"/>
    </row>
    <row r="1149" spans="1:13">
      <c r="A1149" s="63"/>
      <c r="B1149" s="64"/>
      <c r="C1149" s="65" t="s">
        <v>45</v>
      </c>
      <c r="D1149" s="66">
        <f>SUM(D1148)</f>
        <v>5000000</v>
      </c>
      <c r="E1149" s="66">
        <v>0</v>
      </c>
      <c r="F1149" s="66">
        <f t="shared" ref="F1149" si="364">SUM(F1146:F1148)</f>
        <v>0</v>
      </c>
      <c r="G1149" s="122" t="s">
        <v>132</v>
      </c>
      <c r="H1149" s="66" t="s">
        <v>132</v>
      </c>
      <c r="I1149" s="122" t="s">
        <v>132</v>
      </c>
      <c r="J1149" s="66" t="s">
        <v>132</v>
      </c>
      <c r="K1149" s="66">
        <f>SUM(K1148)</f>
        <v>0</v>
      </c>
      <c r="L1149" s="66">
        <v>0</v>
      </c>
      <c r="M1149" s="66"/>
    </row>
    <row r="1150" spans="1:13">
      <c r="A1150" s="99">
        <v>16</v>
      </c>
      <c r="B1150" s="104" t="s">
        <v>123</v>
      </c>
      <c r="C1150" s="105"/>
      <c r="D1150" s="57"/>
      <c r="E1150" s="119"/>
      <c r="F1150" s="131"/>
      <c r="G1150" s="119"/>
      <c r="H1150" s="152"/>
      <c r="I1150" s="119"/>
      <c r="J1150" s="152"/>
      <c r="K1150" s="152"/>
      <c r="L1150" s="152"/>
      <c r="M1150" s="131"/>
    </row>
    <row r="1151" spans="1:13">
      <c r="A1151" s="84"/>
      <c r="B1151" s="185" t="s">
        <v>124</v>
      </c>
      <c r="C1151" s="186"/>
      <c r="D1151" s="182"/>
      <c r="E1151" s="124"/>
      <c r="F1151" s="131"/>
      <c r="G1151" s="131"/>
      <c r="H1151" s="152"/>
      <c r="I1151" s="131"/>
      <c r="J1151" s="152"/>
      <c r="K1151" s="152"/>
      <c r="L1151" s="152"/>
      <c r="M1151" s="152"/>
    </row>
    <row r="1152" spans="1:13" ht="26.25">
      <c r="A1152" s="44"/>
      <c r="B1152" s="282" t="s">
        <v>46</v>
      </c>
      <c r="C1152" s="50" t="s">
        <v>217</v>
      </c>
      <c r="D1152" s="60">
        <v>-27000000</v>
      </c>
      <c r="E1152" s="125">
        <v>0</v>
      </c>
      <c r="F1152" s="135">
        <v>0</v>
      </c>
      <c r="G1152" s="124">
        <v>0</v>
      </c>
      <c r="H1152" s="59" t="s">
        <v>132</v>
      </c>
      <c r="I1152" s="124">
        <v>0</v>
      </c>
      <c r="J1152" s="59" t="s">
        <v>132</v>
      </c>
      <c r="K1152" s="59">
        <v>0</v>
      </c>
      <c r="L1152" s="59">
        <v>0</v>
      </c>
      <c r="M1152" s="59"/>
    </row>
    <row r="1153" spans="1:13">
      <c r="A1153" s="44"/>
      <c r="B1153" s="163" t="s">
        <v>111</v>
      </c>
      <c r="C1153" s="204" t="s">
        <v>81</v>
      </c>
      <c r="D1153" s="205">
        <v>3000000</v>
      </c>
      <c r="E1153" s="125">
        <v>0</v>
      </c>
      <c r="F1153" s="135">
        <v>0</v>
      </c>
      <c r="G1153" s="201" t="s">
        <v>132</v>
      </c>
      <c r="H1153" s="187" t="s">
        <v>132</v>
      </c>
      <c r="I1153" s="201" t="s">
        <v>132</v>
      </c>
      <c r="J1153" s="187" t="s">
        <v>132</v>
      </c>
      <c r="K1153" s="212">
        <v>0</v>
      </c>
      <c r="L1153" s="187"/>
      <c r="M1153" s="188"/>
    </row>
    <row r="1154" spans="1:13">
      <c r="A1154" s="63"/>
      <c r="B1154" s="64"/>
      <c r="C1154" s="65" t="s">
        <v>45</v>
      </c>
      <c r="D1154" s="66">
        <f>D1153</f>
        <v>3000000</v>
      </c>
      <c r="E1154" s="66">
        <f>SUM(E1152:E1153)</f>
        <v>0</v>
      </c>
      <c r="F1154" s="66">
        <f>SUM(F1152:F1153)</f>
        <v>0</v>
      </c>
      <c r="G1154" s="122" t="s">
        <v>132</v>
      </c>
      <c r="H1154" s="66" t="s">
        <v>132</v>
      </c>
      <c r="I1154" s="122">
        <f>SUM(I1152:I1153)</f>
        <v>0</v>
      </c>
      <c r="J1154" s="66" t="s">
        <v>132</v>
      </c>
      <c r="K1154" s="66">
        <f>SUM(K1152:K1153)</f>
        <v>0</v>
      </c>
      <c r="L1154" s="66">
        <f>SUM(L1152:L1153)</f>
        <v>0</v>
      </c>
      <c r="M1154" s="66"/>
    </row>
    <row r="1155" spans="1:13">
      <c r="A1155" s="99">
        <v>17</v>
      </c>
      <c r="B1155" s="104" t="s">
        <v>127</v>
      </c>
      <c r="C1155" s="105"/>
      <c r="D1155" s="57"/>
      <c r="E1155" s="119"/>
      <c r="F1155" s="131"/>
      <c r="G1155" s="119"/>
      <c r="H1155" s="152"/>
      <c r="I1155" s="119"/>
      <c r="J1155" s="152"/>
      <c r="K1155" s="152"/>
      <c r="L1155" s="152"/>
      <c r="M1155" s="131"/>
    </row>
    <row r="1156" spans="1:13" ht="26.25">
      <c r="A1156" s="44"/>
      <c r="B1156" s="47" t="s">
        <v>84</v>
      </c>
      <c r="C1156" s="48" t="s">
        <v>128</v>
      </c>
      <c r="D1156" s="60">
        <v>-10000000</v>
      </c>
      <c r="E1156" s="120">
        <v>0</v>
      </c>
      <c r="F1156" s="132">
        <v>0</v>
      </c>
      <c r="G1156" s="120" t="s">
        <v>132</v>
      </c>
      <c r="H1156" s="59" t="s">
        <v>132</v>
      </c>
      <c r="I1156" s="120">
        <v>0</v>
      </c>
      <c r="J1156" s="59" t="s">
        <v>132</v>
      </c>
      <c r="K1156" s="157">
        <v>0</v>
      </c>
      <c r="L1156" s="59">
        <v>0</v>
      </c>
      <c r="M1156" s="132"/>
    </row>
    <row r="1157" spans="1:13">
      <c r="A1157" s="63"/>
      <c r="B1157" s="64"/>
      <c r="C1157" s="65" t="s">
        <v>45</v>
      </c>
      <c r="D1157" s="66">
        <v>0</v>
      </c>
      <c r="E1157" s="66">
        <f t="shared" ref="E1157:F1157" si="365">SUM(E1154:E1156)</f>
        <v>0</v>
      </c>
      <c r="F1157" s="66">
        <f t="shared" si="365"/>
        <v>0</v>
      </c>
      <c r="G1157" s="122" t="s">
        <v>132</v>
      </c>
      <c r="H1157" s="66" t="s">
        <v>132</v>
      </c>
      <c r="I1157" s="122" t="s">
        <v>132</v>
      </c>
      <c r="J1157" s="66" t="s">
        <v>132</v>
      </c>
      <c r="K1157" s="66">
        <f>SUM(K1156)</f>
        <v>0</v>
      </c>
      <c r="L1157" s="66">
        <v>0</v>
      </c>
      <c r="M1157" s="66"/>
    </row>
    <row r="1158" spans="1:13">
      <c r="A1158" s="44">
        <v>18</v>
      </c>
      <c r="B1158" s="104" t="s">
        <v>218</v>
      </c>
      <c r="C1158" s="105"/>
      <c r="D1158" s="70"/>
      <c r="E1158" s="70"/>
      <c r="F1158" s="70"/>
      <c r="G1158" s="287"/>
      <c r="H1158" s="70"/>
      <c r="I1158" s="287"/>
      <c r="J1158" s="70"/>
      <c r="K1158" s="70"/>
      <c r="L1158" s="70"/>
      <c r="M1158" s="70"/>
    </row>
    <row r="1159" spans="1:13" ht="25.5">
      <c r="A1159" s="44"/>
      <c r="B1159" s="283" t="s">
        <v>83</v>
      </c>
      <c r="C1159" s="284" t="s">
        <v>219</v>
      </c>
      <c r="D1159" s="288">
        <f>50000000-33800000</f>
        <v>16200000</v>
      </c>
      <c r="E1159" s="285">
        <v>0</v>
      </c>
      <c r="F1159" s="285">
        <v>0</v>
      </c>
      <c r="G1159" s="286">
        <v>0</v>
      </c>
      <c r="H1159" s="285">
        <v>0</v>
      </c>
      <c r="I1159" s="286">
        <v>0</v>
      </c>
      <c r="J1159" s="285">
        <v>0</v>
      </c>
      <c r="K1159" s="157">
        <v>0</v>
      </c>
      <c r="L1159" s="285">
        <v>0</v>
      </c>
      <c r="M1159" s="285"/>
    </row>
    <row r="1160" spans="1:13">
      <c r="A1160" s="63"/>
      <c r="B1160" s="64"/>
      <c r="C1160" s="65" t="s">
        <v>45</v>
      </c>
      <c r="D1160" s="66">
        <f>SUM(D1159)</f>
        <v>16200000</v>
      </c>
      <c r="E1160" s="66">
        <v>0</v>
      </c>
      <c r="F1160" s="66">
        <v>0</v>
      </c>
      <c r="G1160" s="122">
        <v>0</v>
      </c>
      <c r="H1160" s="66">
        <v>0</v>
      </c>
      <c r="I1160" s="122">
        <v>0</v>
      </c>
      <c r="J1160" s="66">
        <v>0</v>
      </c>
      <c r="K1160" s="66">
        <f>SUM(K1159)</f>
        <v>0</v>
      </c>
      <c r="L1160" s="66">
        <v>0</v>
      </c>
      <c r="M1160" s="66"/>
    </row>
    <row r="1161" spans="1:13">
      <c r="A1161" s="44">
        <v>24</v>
      </c>
      <c r="B1161" s="104" t="s">
        <v>221</v>
      </c>
      <c r="C1161" s="105"/>
      <c r="D1161" s="70"/>
      <c r="E1161" s="70"/>
      <c r="F1161" s="70"/>
      <c r="G1161" s="287"/>
      <c r="H1161" s="70"/>
      <c r="I1161" s="287"/>
      <c r="J1161" s="70"/>
      <c r="K1161" s="70"/>
      <c r="L1161" s="70"/>
      <c r="M1161" s="70"/>
    </row>
    <row r="1162" spans="1:13">
      <c r="A1162" s="44"/>
      <c r="B1162" s="283" t="s">
        <v>83</v>
      </c>
      <c r="C1162" s="284" t="s">
        <v>222</v>
      </c>
      <c r="D1162" s="288">
        <v>50000000</v>
      </c>
      <c r="E1162" s="285">
        <v>0</v>
      </c>
      <c r="F1162" s="285">
        <v>0</v>
      </c>
      <c r="G1162" s="286">
        <v>0</v>
      </c>
      <c r="H1162" s="285">
        <v>0</v>
      </c>
      <c r="I1162" s="286">
        <v>0</v>
      </c>
      <c r="J1162" s="285">
        <v>0</v>
      </c>
      <c r="K1162" s="157">
        <v>0</v>
      </c>
      <c r="L1162" s="285">
        <v>0</v>
      </c>
      <c r="M1162" s="285"/>
    </row>
    <row r="1163" spans="1:13">
      <c r="A1163" s="63"/>
      <c r="B1163" s="64"/>
      <c r="C1163" s="65" t="s">
        <v>45</v>
      </c>
      <c r="D1163" s="66">
        <f>SUM(D1162)</f>
        <v>50000000</v>
      </c>
      <c r="E1163" s="66">
        <v>0</v>
      </c>
      <c r="F1163" s="66">
        <v>0</v>
      </c>
      <c r="G1163" s="122">
        <v>0</v>
      </c>
      <c r="H1163" s="66">
        <v>0</v>
      </c>
      <c r="I1163" s="122">
        <v>0</v>
      </c>
      <c r="J1163" s="66">
        <v>0</v>
      </c>
      <c r="K1163" s="66">
        <f>SUM(K1162)</f>
        <v>0</v>
      </c>
      <c r="L1163" s="66">
        <v>0</v>
      </c>
      <c r="M1163" s="66"/>
    </row>
    <row r="1164" spans="1:13" ht="15.75" thickBot="1">
      <c r="A1164" s="166"/>
      <c r="B1164" s="167" t="s">
        <v>85</v>
      </c>
      <c r="C1164" s="106"/>
      <c r="D1164" s="107">
        <f>D1058+D1055</f>
        <v>3172095040</v>
      </c>
      <c r="E1164" s="107">
        <f>E1058+E1055</f>
        <v>0</v>
      </c>
      <c r="F1164" s="107">
        <f>F1058+F1055</f>
        <v>0</v>
      </c>
      <c r="G1164" s="107">
        <f>G1055+G1058</f>
        <v>1780126506</v>
      </c>
      <c r="H1164" s="213">
        <f>G1164/D1164*100</f>
        <v>56.118321915096217</v>
      </c>
      <c r="I1164" s="107">
        <f>I1058+I1055</f>
        <v>1780126506</v>
      </c>
      <c r="J1164" s="213">
        <f>I1164/D1164*100</f>
        <v>56.118321915096217</v>
      </c>
      <c r="K1164" s="425">
        <f>7/12</f>
        <v>0.58333333333333337</v>
      </c>
      <c r="L1164" s="213">
        <f>J1164</f>
        <v>56.118321915096217</v>
      </c>
      <c r="M1164" s="158"/>
    </row>
    <row r="1165" spans="1:13" ht="15.75" thickTop="1">
      <c r="A1165" s="342"/>
      <c r="B1165" s="343"/>
      <c r="C1165" s="344"/>
      <c r="D1165" s="345"/>
      <c r="E1165" s="345"/>
      <c r="F1165" s="345"/>
      <c r="G1165" s="527"/>
      <c r="H1165" s="529"/>
      <c r="I1165" s="345"/>
      <c r="J1165" s="346"/>
      <c r="K1165" s="347"/>
      <c r="L1165" s="346"/>
      <c r="M1165" s="348"/>
    </row>
    <row r="1166" spans="1:13">
      <c r="A1166" s="168"/>
      <c r="B1166" s="169"/>
      <c r="C1166" s="170"/>
      <c r="D1166" s="171"/>
      <c r="E1166" s="108"/>
      <c r="G1166" s="526"/>
      <c r="H1166" s="128"/>
      <c r="I1166" s="159" t="s">
        <v>535</v>
      </c>
      <c r="J1166" s="128"/>
      <c r="L1166" s="128"/>
      <c r="M1166" s="128"/>
    </row>
    <row r="1167" spans="1:13">
      <c r="A1167" s="172"/>
      <c r="B1167" s="169"/>
      <c r="C1167" s="173"/>
      <c r="D1167" s="171"/>
      <c r="E1167" s="174"/>
      <c r="H1167" s="128"/>
      <c r="I1167" s="159" t="s">
        <v>86</v>
      </c>
      <c r="J1167" s="128"/>
      <c r="L1167" s="128"/>
      <c r="M1167" s="128"/>
    </row>
    <row r="1168" spans="1:13">
      <c r="A1168" s="172"/>
      <c r="B1168" s="169"/>
      <c r="C1168" s="173"/>
      <c r="D1168" s="171"/>
      <c r="E1168" s="174"/>
      <c r="H1168" s="128"/>
      <c r="I1168" s="159"/>
      <c r="J1168" s="128"/>
      <c r="L1168" s="128"/>
      <c r="M1168" s="128"/>
    </row>
    <row r="1169" spans="1:13">
      <c r="A1169" s="172"/>
      <c r="B1169" s="169"/>
      <c r="C1169" s="173"/>
      <c r="D1169" s="171"/>
      <c r="E1169" s="108"/>
      <c r="H1169" s="128"/>
      <c r="I1169" s="159"/>
      <c r="J1169" s="128"/>
      <c r="L1169" s="128"/>
      <c r="M1169" s="128"/>
    </row>
    <row r="1170" spans="1:13">
      <c r="A1170" s="175"/>
      <c r="B1170" s="176"/>
      <c r="C1170" s="177"/>
      <c r="D1170" s="171"/>
      <c r="E1170" s="108"/>
      <c r="G1170" s="128" t="s">
        <v>227</v>
      </c>
      <c r="H1170" s="128"/>
      <c r="I1170" s="160" t="s">
        <v>120</v>
      </c>
      <c r="J1170" s="128"/>
      <c r="L1170" s="128"/>
      <c r="M1170" s="128"/>
    </row>
    <row r="1171" spans="1:13">
      <c r="A1171" s="175"/>
      <c r="B1171" s="176"/>
      <c r="C1171" s="177"/>
      <c r="D1171" s="175"/>
      <c r="E1171" s="108"/>
      <c r="H1171" s="128"/>
      <c r="I1171" s="159" t="s">
        <v>491</v>
      </c>
      <c r="J1171" s="128"/>
      <c r="L1171" s="128"/>
      <c r="M1171" s="128"/>
    </row>
    <row r="1172" spans="1:13">
      <c r="A1172" s="175"/>
      <c r="B1172" s="176"/>
      <c r="C1172" s="177"/>
      <c r="D1172" s="175"/>
      <c r="E1172" s="108"/>
      <c r="H1172" s="128"/>
      <c r="I1172" s="159" t="s">
        <v>121</v>
      </c>
      <c r="J1172" s="128"/>
      <c r="L1172" s="128"/>
      <c r="M1172" s="128"/>
    </row>
  </sheetData>
  <mergeCells count="168">
    <mergeCell ref="B1119:C1119"/>
    <mergeCell ref="B1122:C1122"/>
    <mergeCell ref="B1125:C1125"/>
    <mergeCell ref="B1128:C1128"/>
    <mergeCell ref="C1129:C1130"/>
    <mergeCell ref="B1132:C1132"/>
    <mergeCell ref="B1054:C1054"/>
    <mergeCell ref="B1099:C1099"/>
    <mergeCell ref="B1100:C1100"/>
    <mergeCell ref="B1105:C1105"/>
    <mergeCell ref="B1115:C1115"/>
    <mergeCell ref="B1116:C1116"/>
    <mergeCell ref="A1046:M1046"/>
    <mergeCell ref="A1047:M1047"/>
    <mergeCell ref="A1051:A1053"/>
    <mergeCell ref="B1051:C1053"/>
    <mergeCell ref="G1051:J1051"/>
    <mergeCell ref="K1051:L1051"/>
    <mergeCell ref="M1051:M1053"/>
    <mergeCell ref="H1052:H1053"/>
    <mergeCell ref="J1052:J1053"/>
    <mergeCell ref="B991:C991"/>
    <mergeCell ref="B994:C994"/>
    <mergeCell ref="B997:C997"/>
    <mergeCell ref="B1000:C1000"/>
    <mergeCell ref="C1001:C1002"/>
    <mergeCell ref="B1004:C1004"/>
    <mergeCell ref="B926:C926"/>
    <mergeCell ref="B971:C971"/>
    <mergeCell ref="B972:C972"/>
    <mergeCell ref="B977:C977"/>
    <mergeCell ref="B987:C987"/>
    <mergeCell ref="B988:C988"/>
    <mergeCell ref="A918:M918"/>
    <mergeCell ref="A919:M919"/>
    <mergeCell ref="A923:A925"/>
    <mergeCell ref="B923:C925"/>
    <mergeCell ref="G923:J923"/>
    <mergeCell ref="K923:L923"/>
    <mergeCell ref="M923:M925"/>
    <mergeCell ref="H924:H925"/>
    <mergeCell ref="J924:J925"/>
    <mergeCell ref="B833:C833"/>
    <mergeCell ref="B836:C836"/>
    <mergeCell ref="B839:C839"/>
    <mergeCell ref="B842:C842"/>
    <mergeCell ref="C843:C844"/>
    <mergeCell ref="B846:C846"/>
    <mergeCell ref="B768:C768"/>
    <mergeCell ref="B813:C813"/>
    <mergeCell ref="B814:C814"/>
    <mergeCell ref="B819:C819"/>
    <mergeCell ref="B829:C829"/>
    <mergeCell ref="B830:C830"/>
    <mergeCell ref="A760:M760"/>
    <mergeCell ref="A761:M761"/>
    <mergeCell ref="A765:A767"/>
    <mergeCell ref="B765:C767"/>
    <mergeCell ref="G765:J765"/>
    <mergeCell ref="K765:L765"/>
    <mergeCell ref="M765:M767"/>
    <mergeCell ref="H766:H767"/>
    <mergeCell ref="J766:J767"/>
    <mergeCell ref="B675:C675"/>
    <mergeCell ref="B678:C678"/>
    <mergeCell ref="B681:C681"/>
    <mergeCell ref="B684:C684"/>
    <mergeCell ref="C685:C686"/>
    <mergeCell ref="B688:C688"/>
    <mergeCell ref="B610:C610"/>
    <mergeCell ref="B655:C655"/>
    <mergeCell ref="B656:C656"/>
    <mergeCell ref="B661:C661"/>
    <mergeCell ref="B671:C671"/>
    <mergeCell ref="B672:C672"/>
    <mergeCell ref="A602:M602"/>
    <mergeCell ref="A603:M603"/>
    <mergeCell ref="A607:A609"/>
    <mergeCell ref="B607:C609"/>
    <mergeCell ref="G607:J607"/>
    <mergeCell ref="K607:L607"/>
    <mergeCell ref="M607:M609"/>
    <mergeCell ref="H608:H609"/>
    <mergeCell ref="J608:J609"/>
    <mergeCell ref="B517:C517"/>
    <mergeCell ref="B520:C520"/>
    <mergeCell ref="B523:C523"/>
    <mergeCell ref="B526:C526"/>
    <mergeCell ref="C527:C528"/>
    <mergeCell ref="B530:C530"/>
    <mergeCell ref="B452:C452"/>
    <mergeCell ref="B497:C497"/>
    <mergeCell ref="B498:C498"/>
    <mergeCell ref="B503:C503"/>
    <mergeCell ref="B513:C513"/>
    <mergeCell ref="B514:C514"/>
    <mergeCell ref="A444:M444"/>
    <mergeCell ref="A445:M445"/>
    <mergeCell ref="A449:A451"/>
    <mergeCell ref="B449:C451"/>
    <mergeCell ref="G449:J449"/>
    <mergeCell ref="K449:L449"/>
    <mergeCell ref="M449:M451"/>
    <mergeCell ref="H450:H451"/>
    <mergeCell ref="J450:J451"/>
    <mergeCell ref="B357:C357"/>
    <mergeCell ref="B360:C360"/>
    <mergeCell ref="B363:C363"/>
    <mergeCell ref="B366:C366"/>
    <mergeCell ref="C367:C368"/>
    <mergeCell ref="B370:C370"/>
    <mergeCell ref="B292:C292"/>
    <mergeCell ref="B337:C337"/>
    <mergeCell ref="B338:C338"/>
    <mergeCell ref="B343:C343"/>
    <mergeCell ref="B353:C353"/>
    <mergeCell ref="B354:C354"/>
    <mergeCell ref="A284:M284"/>
    <mergeCell ref="A285:M285"/>
    <mergeCell ref="A289:A291"/>
    <mergeCell ref="B289:C291"/>
    <mergeCell ref="G289:J289"/>
    <mergeCell ref="K289:L289"/>
    <mergeCell ref="M289:M291"/>
    <mergeCell ref="H290:H291"/>
    <mergeCell ref="J290:J291"/>
    <mergeCell ref="B200:C200"/>
    <mergeCell ref="B203:C203"/>
    <mergeCell ref="B206:C206"/>
    <mergeCell ref="B209:C209"/>
    <mergeCell ref="C210:C211"/>
    <mergeCell ref="B213:C213"/>
    <mergeCell ref="B135:C135"/>
    <mergeCell ref="B180:C180"/>
    <mergeCell ref="B181:C181"/>
    <mergeCell ref="B186:C186"/>
    <mergeCell ref="B196:C196"/>
    <mergeCell ref="B197:C197"/>
    <mergeCell ref="A127:M127"/>
    <mergeCell ref="A128:M128"/>
    <mergeCell ref="A132:A134"/>
    <mergeCell ref="B132:C134"/>
    <mergeCell ref="G132:J132"/>
    <mergeCell ref="K132:L132"/>
    <mergeCell ref="M132:M134"/>
    <mergeCell ref="H133:H134"/>
    <mergeCell ref="J133:J134"/>
    <mergeCell ref="B74:C74"/>
    <mergeCell ref="B77:C77"/>
    <mergeCell ref="B80:C80"/>
    <mergeCell ref="B83:C83"/>
    <mergeCell ref="C84:C85"/>
    <mergeCell ref="B87:C87"/>
    <mergeCell ref="B9:C9"/>
    <mergeCell ref="B54:C54"/>
    <mergeCell ref="B55:C55"/>
    <mergeCell ref="B60:C60"/>
    <mergeCell ref="B70:C70"/>
    <mergeCell ref="B71:C71"/>
    <mergeCell ref="A1:M1"/>
    <mergeCell ref="A2:M2"/>
    <mergeCell ref="A6:A8"/>
    <mergeCell ref="B6:C8"/>
    <mergeCell ref="G6:J6"/>
    <mergeCell ref="K6:L6"/>
    <mergeCell ref="M6:M8"/>
    <mergeCell ref="H7:H8"/>
    <mergeCell ref="J7:J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281"/>
  <sheetViews>
    <sheetView topLeftCell="A7" workbookViewId="0">
      <selection activeCell="S22" sqref="S22"/>
    </sheetView>
  </sheetViews>
  <sheetFormatPr defaultRowHeight="15"/>
  <cols>
    <col min="1" max="1" width="4.42578125" customWidth="1"/>
    <col min="2" max="2" width="3.85546875" customWidth="1"/>
    <col min="3" max="3" width="44.85546875" customWidth="1"/>
    <col min="4" max="5" width="12.28515625" style="128" customWidth="1"/>
    <col min="6" max="7" width="11.28515625" style="128" customWidth="1"/>
    <col min="8" max="8" width="13.140625" style="128" customWidth="1"/>
    <col min="9" max="9" width="6.85546875" customWidth="1"/>
    <col min="10" max="10" width="13.140625" customWidth="1"/>
    <col min="11" max="11" width="6.7109375" customWidth="1"/>
    <col min="12" max="12" width="14.140625" style="128" customWidth="1"/>
    <col min="13" max="13" width="10.85546875" customWidth="1"/>
    <col min="14" max="14" width="10.28515625" customWidth="1"/>
    <col min="15" max="15" width="14.28515625" style="161" bestFit="1" customWidth="1"/>
    <col min="16" max="16" width="16.85546875" style="544" bestFit="1" customWidth="1"/>
    <col min="17" max="17" width="15.140625" style="544" customWidth="1"/>
    <col min="18" max="18" width="13.28515625" customWidth="1"/>
    <col min="19" max="19" width="16.85546875" style="544" bestFit="1" customWidth="1"/>
  </cols>
  <sheetData>
    <row r="1" spans="1:20" ht="15.75">
      <c r="A1" s="832" t="s">
        <v>223</v>
      </c>
      <c r="B1" s="832"/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</row>
    <row r="2" spans="1:20" ht="15.75">
      <c r="A2" s="832" t="s">
        <v>224</v>
      </c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</row>
    <row r="3" spans="1:20" ht="15.75">
      <c r="A3" s="703"/>
      <c r="B3" s="703"/>
      <c r="C3" s="703"/>
      <c r="D3" s="703"/>
      <c r="E3" s="703"/>
      <c r="F3" s="703"/>
      <c r="G3" s="703"/>
      <c r="H3" s="303"/>
      <c r="I3" s="703"/>
      <c r="J3" s="703"/>
      <c r="K3" s="703"/>
      <c r="L3" s="303"/>
      <c r="M3" s="703"/>
      <c r="N3" s="703"/>
    </row>
    <row r="4" spans="1:20" ht="16.5">
      <c r="A4" s="1" t="s">
        <v>213</v>
      </c>
      <c r="B4" s="2"/>
      <c r="C4" s="3" t="s">
        <v>2</v>
      </c>
      <c r="F4" s="108"/>
      <c r="H4" s="669"/>
      <c r="I4" s="4"/>
      <c r="J4" s="5"/>
      <c r="K4" s="4"/>
      <c r="N4" s="4"/>
    </row>
    <row r="5" spans="1:20" ht="17.25" thickBot="1">
      <c r="A5" s="14" t="s">
        <v>225</v>
      </c>
      <c r="B5" s="14"/>
      <c r="C5" s="292" t="s">
        <v>548</v>
      </c>
      <c r="D5" s="129"/>
      <c r="E5" s="129"/>
      <c r="F5" s="109"/>
      <c r="G5" s="129"/>
      <c r="H5" s="305"/>
      <c r="I5" s="14"/>
      <c r="J5" s="16"/>
      <c r="K5" s="14"/>
      <c r="L5" s="129"/>
      <c r="M5" s="15"/>
      <c r="N5" s="14"/>
    </row>
    <row r="6" spans="1:20" ht="15.75" thickTop="1">
      <c r="A6" s="833" t="s">
        <v>3</v>
      </c>
      <c r="B6" s="836" t="s">
        <v>4</v>
      </c>
      <c r="C6" s="837"/>
      <c r="D6" s="289" t="s">
        <v>5</v>
      </c>
      <c r="E6" s="289" t="s">
        <v>545</v>
      </c>
      <c r="F6" s="110" t="s">
        <v>6</v>
      </c>
      <c r="G6" s="130"/>
      <c r="H6" s="842" t="s">
        <v>7</v>
      </c>
      <c r="I6" s="843"/>
      <c r="J6" s="843"/>
      <c r="K6" s="843"/>
      <c r="L6" s="844" t="s">
        <v>8</v>
      </c>
      <c r="M6" s="844"/>
      <c r="N6" s="833" t="s">
        <v>9</v>
      </c>
    </row>
    <row r="7" spans="1:20">
      <c r="A7" s="834"/>
      <c r="B7" s="838"/>
      <c r="C7" s="839"/>
      <c r="D7" s="290" t="s">
        <v>10</v>
      </c>
      <c r="E7" s="290" t="s">
        <v>546</v>
      </c>
      <c r="F7" s="111" t="s">
        <v>11</v>
      </c>
      <c r="G7" s="111" t="s">
        <v>12</v>
      </c>
      <c r="H7" s="111" t="s">
        <v>13</v>
      </c>
      <c r="I7" s="845" t="s">
        <v>14</v>
      </c>
      <c r="J7" s="6" t="s">
        <v>15</v>
      </c>
      <c r="K7" s="846" t="s">
        <v>14</v>
      </c>
      <c r="L7" s="321" t="s">
        <v>16</v>
      </c>
      <c r="M7" s="7" t="s">
        <v>17</v>
      </c>
      <c r="N7" s="834"/>
    </row>
    <row r="8" spans="1:20">
      <c r="A8" s="835"/>
      <c r="B8" s="840"/>
      <c r="C8" s="841"/>
      <c r="D8" s="291" t="s">
        <v>18</v>
      </c>
      <c r="E8" s="291" t="s">
        <v>547</v>
      </c>
      <c r="F8" s="112" t="s">
        <v>18</v>
      </c>
      <c r="G8" s="112"/>
      <c r="H8" s="306" t="s">
        <v>19</v>
      </c>
      <c r="I8" s="835"/>
      <c r="J8" s="8" t="s">
        <v>19</v>
      </c>
      <c r="K8" s="847"/>
      <c r="L8" s="322" t="s">
        <v>233</v>
      </c>
      <c r="M8" s="9" t="s">
        <v>233</v>
      </c>
      <c r="N8" s="835"/>
    </row>
    <row r="9" spans="1:20" ht="15.75" thickBot="1">
      <c r="A9" s="17">
        <v>1</v>
      </c>
      <c r="B9" s="828">
        <v>2</v>
      </c>
      <c r="C9" s="829"/>
      <c r="D9" s="17">
        <v>3</v>
      </c>
      <c r="E9" s="17">
        <v>4</v>
      </c>
      <c r="F9" s="17">
        <v>5</v>
      </c>
      <c r="G9" s="17">
        <v>6</v>
      </c>
      <c r="H9" s="17">
        <v>7</v>
      </c>
      <c r="I9" s="17">
        <v>8</v>
      </c>
      <c r="J9" s="17">
        <v>9</v>
      </c>
      <c r="K9" s="17">
        <v>10</v>
      </c>
      <c r="L9" s="17">
        <v>11</v>
      </c>
      <c r="M9" s="17">
        <v>12</v>
      </c>
      <c r="N9" s="17">
        <v>13</v>
      </c>
      <c r="O9" s="714"/>
    </row>
    <row r="10" spans="1:20" ht="15.75" thickBot="1">
      <c r="A10" s="35" t="s">
        <v>20</v>
      </c>
      <c r="B10" s="36" t="s">
        <v>21</v>
      </c>
      <c r="C10" s="37"/>
      <c r="D10" s="30">
        <f>D11+D12</f>
        <v>2257113000</v>
      </c>
      <c r="E10" s="715">
        <f>E11+E12</f>
        <v>2162113000</v>
      </c>
      <c r="F10" s="715">
        <f>F11</f>
        <v>0</v>
      </c>
      <c r="G10" s="30">
        <v>0</v>
      </c>
      <c r="H10" s="715">
        <f>H11+H12</f>
        <v>1605769813</v>
      </c>
      <c r="I10" s="716">
        <f>H10/E10*100</f>
        <v>74.268542532235827</v>
      </c>
      <c r="J10" s="30">
        <f>H10</f>
        <v>1605769813</v>
      </c>
      <c r="K10" s="717">
        <f>J10/D10*100</f>
        <v>71.142641640006502</v>
      </c>
      <c r="L10" s="718">
        <f>11/12</f>
        <v>0.91666666666666663</v>
      </c>
      <c r="M10" s="215">
        <f>K10</f>
        <v>71.142641640006502</v>
      </c>
      <c r="N10" s="53"/>
    </row>
    <row r="11" spans="1:20" ht="15.75" thickBot="1">
      <c r="A11" s="38" t="s">
        <v>22</v>
      </c>
      <c r="B11" s="39" t="s">
        <v>23</v>
      </c>
      <c r="C11" s="40"/>
      <c r="D11" s="730">
        <v>1872153000</v>
      </c>
      <c r="E11" s="732">
        <v>1747153000</v>
      </c>
      <c r="F11" s="731">
        <v>0</v>
      </c>
      <c r="G11" s="30">
        <v>0</v>
      </c>
      <c r="H11" s="30">
        <v>1311512995</v>
      </c>
      <c r="I11" s="214">
        <f>H11/E11*100</f>
        <v>75.065720918545779</v>
      </c>
      <c r="J11" s="296">
        <f>H11</f>
        <v>1311512995</v>
      </c>
      <c r="K11" s="217">
        <f>J11/D11*100</f>
        <v>70.053729315926631</v>
      </c>
      <c r="L11" s="332">
        <f>11/12</f>
        <v>0.91666666666666663</v>
      </c>
      <c r="M11" s="215">
        <f>K11</f>
        <v>70.053729315926631</v>
      </c>
      <c r="N11" s="146"/>
    </row>
    <row r="12" spans="1:20" ht="15.75" thickBot="1">
      <c r="A12" s="139"/>
      <c r="B12" s="140" t="s">
        <v>107</v>
      </c>
      <c r="C12" s="141"/>
      <c r="D12" s="730">
        <v>384960000</v>
      </c>
      <c r="E12" s="732">
        <v>414960000</v>
      </c>
      <c r="F12" s="731">
        <v>0</v>
      </c>
      <c r="G12" s="30">
        <v>0</v>
      </c>
      <c r="H12" s="351">
        <v>294256818</v>
      </c>
      <c r="I12" s="214">
        <f>H12/E12*100</f>
        <v>70.912092249855405</v>
      </c>
      <c r="J12" s="296">
        <f>H12</f>
        <v>294256818</v>
      </c>
      <c r="K12" s="217">
        <f>J12/D12*100</f>
        <v>76.438283977556111</v>
      </c>
      <c r="L12" s="332">
        <f>11/12</f>
        <v>0.91666666666666663</v>
      </c>
      <c r="M12" s="215">
        <f>K12</f>
        <v>76.438283977556111</v>
      </c>
      <c r="N12" s="149"/>
    </row>
    <row r="13" spans="1:20" ht="15.75" thickBot="1">
      <c r="A13" s="35" t="s">
        <v>24</v>
      </c>
      <c r="B13" s="36" t="s">
        <v>25</v>
      </c>
      <c r="C13" s="37"/>
      <c r="D13" s="30">
        <f>D30+D40+D43+D47+D50+D53+D59+D62+D66+D69+D73+D76+D79+D82+D86+D89+D92+D97+D101+D104+D109+D112+D115+D118</f>
        <v>994212000</v>
      </c>
      <c r="E13" s="30">
        <f>E30+E40+E43+E47+E50+E53+E59+E62+E66+E69+E73+E76+E79+E82+E86+E89+E92+E97+E101+E104+E109+E112+E115+E118</f>
        <v>914982040</v>
      </c>
      <c r="F13" s="30">
        <v>0</v>
      </c>
      <c r="G13" s="30">
        <v>0</v>
      </c>
      <c r="H13" s="30">
        <f>H30+H40+H69+H73+H89+H92+H79+H82+H86+H101+H53+H66+H97+H50+H47+H76+H62+H59+H104+H115+H109</f>
        <v>755454677</v>
      </c>
      <c r="I13" s="215">
        <f>H13/E13*100</f>
        <v>82.564973297180785</v>
      </c>
      <c r="J13" s="296">
        <f>H13</f>
        <v>755454677</v>
      </c>
      <c r="K13" s="217">
        <f>J13/E13*100</f>
        <v>82.564973297180785</v>
      </c>
      <c r="L13" s="332">
        <f>11/12</f>
        <v>0.91666666666666663</v>
      </c>
      <c r="M13" s="215">
        <f>K13</f>
        <v>82.564973297180785</v>
      </c>
      <c r="N13" s="30"/>
      <c r="O13" s="161">
        <f>E13-H13</f>
        <v>159527363</v>
      </c>
      <c r="P13" s="544">
        <v>79228000</v>
      </c>
      <c r="Q13" s="712"/>
      <c r="R13" s="734">
        <v>914982040</v>
      </c>
      <c r="S13" s="544">
        <f>E13/R13*100</f>
        <v>100</v>
      </c>
    </row>
    <row r="14" spans="1:20">
      <c r="A14" s="41" t="s">
        <v>26</v>
      </c>
      <c r="B14" s="42" t="s">
        <v>27</v>
      </c>
      <c r="C14" s="43"/>
      <c r="D14" s="32"/>
      <c r="E14" s="32"/>
      <c r="F14" s="115"/>
      <c r="G14" s="32"/>
      <c r="H14" s="150"/>
      <c r="I14" s="151"/>
      <c r="J14" s="191"/>
      <c r="K14" s="150"/>
      <c r="L14" s="32"/>
      <c r="M14" s="32"/>
      <c r="N14" s="32"/>
      <c r="O14" s="161">
        <v>51500000</v>
      </c>
      <c r="P14" s="544">
        <f>O13-P13-O14</f>
        <v>28799363</v>
      </c>
      <c r="Q14" s="712"/>
      <c r="S14" s="544">
        <f>O13-O14</f>
        <v>108027363</v>
      </c>
    </row>
    <row r="15" spans="1:20">
      <c r="A15" s="44"/>
      <c r="B15" s="45" t="s">
        <v>26</v>
      </c>
      <c r="C15" s="46" t="s">
        <v>28</v>
      </c>
      <c r="D15" s="525">
        <v>6000000</v>
      </c>
      <c r="E15" s="525">
        <v>6000000</v>
      </c>
      <c r="F15" s="116">
        <v>0</v>
      </c>
      <c r="G15" s="131">
        <v>0</v>
      </c>
      <c r="H15" s="272">
        <f>999000+501000+250000+250000+250000+250000+249000+750000</f>
        <v>3499000</v>
      </c>
      <c r="I15" s="299">
        <f>H15/E15*100</f>
        <v>58.31666666666667</v>
      </c>
      <c r="J15" s="192">
        <f>H15</f>
        <v>3499000</v>
      </c>
      <c r="K15" s="301">
        <f>I15</f>
        <v>58.31666666666667</v>
      </c>
      <c r="L15" s="331">
        <f>11/12</f>
        <v>0.91666666666666663</v>
      </c>
      <c r="M15" s="311">
        <f>K15</f>
        <v>58.31666666666667</v>
      </c>
      <c r="N15" s="131"/>
      <c r="P15" s="544">
        <v>62000000</v>
      </c>
      <c r="Q15" s="712">
        <f>D15-H15</f>
        <v>2501000</v>
      </c>
      <c r="S15" s="544">
        <v>46500000</v>
      </c>
      <c r="T15">
        <f>S15/S16*100</f>
        <v>75</v>
      </c>
    </row>
    <row r="16" spans="1:20">
      <c r="A16" s="44"/>
      <c r="B16" s="47" t="s">
        <v>29</v>
      </c>
      <c r="C16" s="48" t="s">
        <v>30</v>
      </c>
      <c r="D16" s="34">
        <v>8000000</v>
      </c>
      <c r="E16" s="34">
        <v>4000000</v>
      </c>
      <c r="F16" s="297">
        <v>0</v>
      </c>
      <c r="G16" s="132">
        <v>0</v>
      </c>
      <c r="H16" s="272">
        <v>2426553</v>
      </c>
      <c r="I16" s="299">
        <f t="shared" ref="I16:I27" si="0">H16/E16*100</f>
        <v>60.663825000000003</v>
      </c>
      <c r="J16" s="192">
        <f>H16</f>
        <v>2426553</v>
      </c>
      <c r="K16" s="301">
        <f t="shared" ref="K16:K28" si="1">I16</f>
        <v>60.663825000000003</v>
      </c>
      <c r="L16" s="331">
        <f t="shared" ref="L16:L26" si="2">11/12</f>
        <v>0.91666666666666663</v>
      </c>
      <c r="M16" s="311">
        <f t="shared" ref="M16:M29" si="3">K16</f>
        <v>60.663825000000003</v>
      </c>
      <c r="N16" s="132"/>
      <c r="P16" s="544">
        <v>2</v>
      </c>
      <c r="Q16" s="712">
        <f>D16-H16</f>
        <v>5573447</v>
      </c>
      <c r="S16" s="544">
        <v>62000000</v>
      </c>
    </row>
    <row r="17" spans="1:19">
      <c r="A17" s="44"/>
      <c r="B17" s="47" t="s">
        <v>29</v>
      </c>
      <c r="C17" s="48" t="s">
        <v>31</v>
      </c>
      <c r="D17" s="34">
        <v>5000000</v>
      </c>
      <c r="E17" s="34">
        <v>5000000</v>
      </c>
      <c r="F17" s="297">
        <v>0</v>
      </c>
      <c r="G17" s="132">
        <v>0</v>
      </c>
      <c r="H17" s="272">
        <v>2868400</v>
      </c>
      <c r="I17" s="299">
        <f t="shared" si="0"/>
        <v>57.367999999999995</v>
      </c>
      <c r="J17" s="192">
        <f t="shared" ref="J17:J18" si="4">H17</f>
        <v>2868400</v>
      </c>
      <c r="K17" s="301">
        <f t="shared" si="1"/>
        <v>57.367999999999995</v>
      </c>
      <c r="L17" s="331">
        <f t="shared" si="2"/>
        <v>0.91666666666666663</v>
      </c>
      <c r="M17" s="311">
        <f t="shared" si="3"/>
        <v>57.367999999999995</v>
      </c>
      <c r="N17" s="132"/>
      <c r="P17" s="544">
        <f>P15*P16</f>
        <v>124000000</v>
      </c>
      <c r="Q17" s="712">
        <f>D17-H17</f>
        <v>2131600</v>
      </c>
      <c r="S17" s="544">
        <f>S14-S15</f>
        <v>61527363</v>
      </c>
    </row>
    <row r="18" spans="1:19">
      <c r="A18" s="44"/>
      <c r="B18" s="47" t="s">
        <v>29</v>
      </c>
      <c r="C18" s="48" t="s">
        <v>32</v>
      </c>
      <c r="D18" s="34">
        <v>12000000</v>
      </c>
      <c r="E18" s="34">
        <v>8000000</v>
      </c>
      <c r="F18" s="297">
        <v>0</v>
      </c>
      <c r="G18" s="132">
        <v>0</v>
      </c>
      <c r="H18" s="272">
        <v>6053324</v>
      </c>
      <c r="I18" s="299">
        <f t="shared" si="0"/>
        <v>75.666550000000001</v>
      </c>
      <c r="J18" s="192">
        <f t="shared" si="4"/>
        <v>6053324</v>
      </c>
      <c r="K18" s="301">
        <f t="shared" si="1"/>
        <v>75.666550000000001</v>
      </c>
      <c r="L18" s="331">
        <f t="shared" si="2"/>
        <v>0.91666666666666663</v>
      </c>
      <c r="M18" s="311">
        <f t="shared" si="3"/>
        <v>75.666550000000001</v>
      </c>
      <c r="N18" s="132"/>
      <c r="P18" s="544">
        <f>P14-P15</f>
        <v>-33200637</v>
      </c>
      <c r="Q18" s="712">
        <f t="shared" ref="Q18:Q29" si="5">D18-H18</f>
        <v>5946676</v>
      </c>
      <c r="S18" s="544">
        <f>S16-S17</f>
        <v>472637</v>
      </c>
    </row>
    <row r="19" spans="1:19">
      <c r="A19" s="44"/>
      <c r="B19" s="47" t="s">
        <v>33</v>
      </c>
      <c r="C19" s="48" t="s">
        <v>34</v>
      </c>
      <c r="D19" s="34">
        <v>12105000</v>
      </c>
      <c r="E19" s="34">
        <v>12105000</v>
      </c>
      <c r="F19" s="117">
        <v>0</v>
      </c>
      <c r="G19" s="132">
        <v>0</v>
      </c>
      <c r="H19" s="272">
        <v>10000000</v>
      </c>
      <c r="I19" s="299">
        <f t="shared" si="0"/>
        <v>82.610491532424618</v>
      </c>
      <c r="J19" s="192">
        <f>H19</f>
        <v>10000000</v>
      </c>
      <c r="K19" s="301">
        <f t="shared" si="1"/>
        <v>82.610491532424618</v>
      </c>
      <c r="L19" s="331">
        <f t="shared" si="2"/>
        <v>0.91666666666666663</v>
      </c>
      <c r="M19" s="311">
        <f t="shared" si="3"/>
        <v>82.610491532424618</v>
      </c>
      <c r="N19" s="132"/>
      <c r="P19" s="544">
        <v>52000000</v>
      </c>
      <c r="Q19" s="712">
        <f t="shared" si="5"/>
        <v>2105000</v>
      </c>
      <c r="S19" s="544">
        <v>914982040</v>
      </c>
    </row>
    <row r="20" spans="1:19">
      <c r="A20" s="44"/>
      <c r="B20" s="47">
        <v>10</v>
      </c>
      <c r="C20" s="48" t="s">
        <v>35</v>
      </c>
      <c r="D20" s="34">
        <v>11895000</v>
      </c>
      <c r="E20" s="34">
        <v>11895000</v>
      </c>
      <c r="F20" s="117">
        <v>0</v>
      </c>
      <c r="G20" s="132">
        <v>0</v>
      </c>
      <c r="H20" s="272">
        <f>1500000+1000000+1000000+2250000+1000000+750000+2900000</f>
        <v>10400000</v>
      </c>
      <c r="I20" s="299">
        <f t="shared" si="0"/>
        <v>87.431693989071036</v>
      </c>
      <c r="J20" s="192">
        <f t="shared" ref="J20:J23" si="6">H20</f>
        <v>10400000</v>
      </c>
      <c r="K20" s="301">
        <f t="shared" si="1"/>
        <v>87.431693989071036</v>
      </c>
      <c r="L20" s="331">
        <f t="shared" si="2"/>
        <v>0.91666666666666663</v>
      </c>
      <c r="M20" s="311">
        <f t="shared" si="3"/>
        <v>87.431693989071036</v>
      </c>
      <c r="N20" s="132"/>
      <c r="P20" s="544">
        <f>P19-P18</f>
        <v>85200637</v>
      </c>
      <c r="Q20" s="712">
        <f t="shared" si="5"/>
        <v>1495000</v>
      </c>
      <c r="S20" s="544">
        <f>S19-S18</f>
        <v>914509403</v>
      </c>
    </row>
    <row r="21" spans="1:19">
      <c r="A21" s="44"/>
      <c r="B21" s="47">
        <v>11</v>
      </c>
      <c r="C21" s="48" t="s">
        <v>36</v>
      </c>
      <c r="D21" s="34">
        <v>6000000</v>
      </c>
      <c r="E21" s="34">
        <v>6000000</v>
      </c>
      <c r="F21" s="117">
        <v>0</v>
      </c>
      <c r="G21" s="132">
        <v>0</v>
      </c>
      <c r="H21" s="272">
        <f>1000000+500000+750000+1700000+200000+350000+500000</f>
        <v>5000000</v>
      </c>
      <c r="I21" s="299">
        <f t="shared" si="0"/>
        <v>83.333333333333343</v>
      </c>
      <c r="J21" s="192">
        <f t="shared" si="6"/>
        <v>5000000</v>
      </c>
      <c r="K21" s="301">
        <f t="shared" si="1"/>
        <v>83.333333333333343</v>
      </c>
      <c r="L21" s="331">
        <f t="shared" si="2"/>
        <v>0.91666666666666663</v>
      </c>
      <c r="M21" s="311">
        <f t="shared" si="3"/>
        <v>83.333333333333343</v>
      </c>
      <c r="N21" s="132"/>
      <c r="Q21" s="712">
        <f t="shared" si="5"/>
        <v>1000000</v>
      </c>
      <c r="S21" s="544">
        <f>S20/S19*100</f>
        <v>99.948344669147829</v>
      </c>
    </row>
    <row r="22" spans="1:19">
      <c r="A22" s="44"/>
      <c r="B22" s="47">
        <v>11</v>
      </c>
      <c r="C22" s="48" t="s">
        <v>37</v>
      </c>
      <c r="D22" s="34">
        <v>18000000</v>
      </c>
      <c r="E22" s="34">
        <v>18000000</v>
      </c>
      <c r="F22" s="117">
        <v>0</v>
      </c>
      <c r="G22" s="132">
        <v>0</v>
      </c>
      <c r="H22" s="272">
        <f>2525600+17850+34600+34000+2524800+370000+297800+11600000</f>
        <v>17404650</v>
      </c>
      <c r="I22" s="299">
        <f t="shared" si="0"/>
        <v>96.69250000000001</v>
      </c>
      <c r="J22" s="192">
        <f t="shared" si="6"/>
        <v>17404650</v>
      </c>
      <c r="K22" s="301">
        <f t="shared" si="1"/>
        <v>96.69250000000001</v>
      </c>
      <c r="L22" s="331">
        <f t="shared" si="2"/>
        <v>0.91666666666666663</v>
      </c>
      <c r="M22" s="311">
        <f t="shared" si="3"/>
        <v>96.69250000000001</v>
      </c>
      <c r="N22" s="132"/>
      <c r="Q22" s="712">
        <f t="shared" si="5"/>
        <v>595350</v>
      </c>
    </row>
    <row r="23" spans="1:19">
      <c r="A23" s="44"/>
      <c r="B23" s="47">
        <v>12</v>
      </c>
      <c r="C23" s="48" t="s">
        <v>38</v>
      </c>
      <c r="D23" s="34">
        <v>5000000</v>
      </c>
      <c r="E23" s="34">
        <v>5000000</v>
      </c>
      <c r="F23" s="117">
        <v>0</v>
      </c>
      <c r="G23" s="132">
        <v>0</v>
      </c>
      <c r="H23" s="272">
        <v>4225000</v>
      </c>
      <c r="I23" s="299">
        <f t="shared" si="0"/>
        <v>84.5</v>
      </c>
      <c r="J23" s="192">
        <f t="shared" si="6"/>
        <v>4225000</v>
      </c>
      <c r="K23" s="301">
        <f t="shared" si="1"/>
        <v>84.5</v>
      </c>
      <c r="L23" s="331">
        <f t="shared" si="2"/>
        <v>0.91666666666666663</v>
      </c>
      <c r="M23" s="311">
        <f t="shared" si="3"/>
        <v>84.5</v>
      </c>
      <c r="N23" s="132"/>
      <c r="Q23" s="712">
        <f t="shared" si="5"/>
        <v>775000</v>
      </c>
    </row>
    <row r="24" spans="1:19">
      <c r="A24" s="44"/>
      <c r="B24" s="47">
        <v>13</v>
      </c>
      <c r="C24" s="48" t="s">
        <v>39</v>
      </c>
      <c r="D24" s="34">
        <v>5000000</v>
      </c>
      <c r="E24" s="34">
        <v>5000000</v>
      </c>
      <c r="F24" s="117">
        <v>0</v>
      </c>
      <c r="G24" s="132">
        <v>0</v>
      </c>
      <c r="H24" s="272">
        <f>1000000+250000+500000+745000+750000+500000+700000</f>
        <v>4445000</v>
      </c>
      <c r="I24" s="299">
        <f t="shared" si="0"/>
        <v>88.9</v>
      </c>
      <c r="J24" s="192">
        <f>H24</f>
        <v>4445000</v>
      </c>
      <c r="K24" s="301">
        <f t="shared" si="1"/>
        <v>88.9</v>
      </c>
      <c r="L24" s="331">
        <f t="shared" si="2"/>
        <v>0.91666666666666663</v>
      </c>
      <c r="M24" s="311">
        <f t="shared" si="3"/>
        <v>88.9</v>
      </c>
      <c r="N24" s="132"/>
      <c r="Q24" s="712">
        <f t="shared" si="5"/>
        <v>555000</v>
      </c>
    </row>
    <row r="25" spans="1:19">
      <c r="A25" s="44"/>
      <c r="B25" s="47">
        <v>15</v>
      </c>
      <c r="C25" s="48" t="s">
        <v>40</v>
      </c>
      <c r="D25" s="34">
        <v>3000000</v>
      </c>
      <c r="E25" s="34">
        <v>3000000</v>
      </c>
      <c r="F25" s="117">
        <v>0</v>
      </c>
      <c r="G25" s="132">
        <v>0</v>
      </c>
      <c r="H25" s="272">
        <f>260000+140000+260000+140000+120000+120000+240000</f>
        <v>1280000</v>
      </c>
      <c r="I25" s="299">
        <f t="shared" si="0"/>
        <v>42.666666666666671</v>
      </c>
      <c r="J25" s="192">
        <f t="shared" ref="J25:J26" si="7">H25</f>
        <v>1280000</v>
      </c>
      <c r="K25" s="301">
        <f t="shared" si="1"/>
        <v>42.666666666666671</v>
      </c>
      <c r="L25" s="331">
        <f t="shared" si="2"/>
        <v>0.91666666666666663</v>
      </c>
      <c r="M25" s="311">
        <f t="shared" si="3"/>
        <v>42.666666666666671</v>
      </c>
      <c r="N25" s="132"/>
      <c r="Q25" s="712">
        <f t="shared" si="5"/>
        <v>1720000</v>
      </c>
    </row>
    <row r="26" spans="1:19">
      <c r="A26" s="44"/>
      <c r="B26" s="47">
        <v>17</v>
      </c>
      <c r="C26" s="48" t="s">
        <v>41</v>
      </c>
      <c r="D26" s="34">
        <v>5000000</v>
      </c>
      <c r="E26" s="34">
        <v>5000000</v>
      </c>
      <c r="F26" s="117">
        <v>0</v>
      </c>
      <c r="G26" s="132">
        <v>0</v>
      </c>
      <c r="H26" s="272">
        <f>1000000+250000+750000+650000+900000+950000</f>
        <v>4500000</v>
      </c>
      <c r="I26" s="299">
        <f t="shared" si="0"/>
        <v>90</v>
      </c>
      <c r="J26" s="192">
        <f t="shared" si="7"/>
        <v>4500000</v>
      </c>
      <c r="K26" s="301">
        <f t="shared" si="1"/>
        <v>90</v>
      </c>
      <c r="L26" s="331">
        <f t="shared" si="2"/>
        <v>0.91666666666666663</v>
      </c>
      <c r="M26" s="311">
        <f t="shared" si="3"/>
        <v>90</v>
      </c>
      <c r="N26" s="132"/>
      <c r="Q26" s="712">
        <f t="shared" si="5"/>
        <v>500000</v>
      </c>
    </row>
    <row r="27" spans="1:19">
      <c r="A27" s="44"/>
      <c r="B27" s="47">
        <v>17</v>
      </c>
      <c r="C27" s="48" t="s">
        <v>42</v>
      </c>
      <c r="D27" s="34">
        <v>7000000</v>
      </c>
      <c r="E27" s="34">
        <v>10449040</v>
      </c>
      <c r="F27" s="117">
        <v>0</v>
      </c>
      <c r="G27" s="132">
        <v>0</v>
      </c>
      <c r="H27" s="272">
        <f>1200000+400000+1800000+760000+760000+760000</f>
        <v>5680000</v>
      </c>
      <c r="I27" s="299">
        <f t="shared" si="0"/>
        <v>54.359060736680121</v>
      </c>
      <c r="J27" s="192">
        <f>H27</f>
        <v>5680000</v>
      </c>
      <c r="K27" s="301">
        <f>I27</f>
        <v>54.359060736680121</v>
      </c>
      <c r="L27" s="331">
        <f>11/12</f>
        <v>0.91666666666666663</v>
      </c>
      <c r="M27" s="311">
        <f t="shared" si="3"/>
        <v>54.359060736680121</v>
      </c>
      <c r="N27" s="132"/>
      <c r="Q27" s="712">
        <f t="shared" si="5"/>
        <v>1320000</v>
      </c>
    </row>
    <row r="28" spans="1:19">
      <c r="A28" s="44"/>
      <c r="B28" s="47">
        <v>18</v>
      </c>
      <c r="C28" s="48" t="s">
        <v>43</v>
      </c>
      <c r="D28" s="34">
        <v>15000000</v>
      </c>
      <c r="E28" s="34">
        <v>20528000</v>
      </c>
      <c r="F28" s="117">
        <v>0</v>
      </c>
      <c r="G28" s="132">
        <v>0</v>
      </c>
      <c r="H28" s="272">
        <v>12075000</v>
      </c>
      <c r="I28" s="299">
        <f>H28/E28*100</f>
        <v>58.822096648480127</v>
      </c>
      <c r="J28" s="192">
        <f>H28</f>
        <v>12075000</v>
      </c>
      <c r="K28" s="301">
        <f t="shared" si="1"/>
        <v>58.822096648480127</v>
      </c>
      <c r="L28" s="331">
        <f>11/12</f>
        <v>0.91666666666666663</v>
      </c>
      <c r="M28" s="311">
        <f t="shared" si="3"/>
        <v>58.822096648480127</v>
      </c>
      <c r="N28" s="132"/>
      <c r="Q28" s="712">
        <f t="shared" si="5"/>
        <v>2925000</v>
      </c>
    </row>
    <row r="29" spans="1:19" ht="15.75" thickBot="1">
      <c r="A29" s="44"/>
      <c r="B29" s="49">
        <v>19</v>
      </c>
      <c r="C29" s="50" t="s">
        <v>44</v>
      </c>
      <c r="D29" s="51">
        <v>51212000</v>
      </c>
      <c r="E29" s="51">
        <v>57547000</v>
      </c>
      <c r="F29" s="298">
        <v>0</v>
      </c>
      <c r="G29" s="133">
        <v>0</v>
      </c>
      <c r="H29" s="272">
        <v>37089000</v>
      </c>
      <c r="I29" s="299">
        <f>H29/E29*100</f>
        <v>64.449927885033105</v>
      </c>
      <c r="J29" s="192">
        <f t="shared" ref="J29" si="8">H29</f>
        <v>37089000</v>
      </c>
      <c r="K29" s="301">
        <f>I29</f>
        <v>64.449927885033105</v>
      </c>
      <c r="L29" s="331">
        <f>11/12</f>
        <v>0.91666666666666663</v>
      </c>
      <c r="M29" s="311">
        <f t="shared" si="3"/>
        <v>64.449927885033105</v>
      </c>
      <c r="N29" s="133"/>
      <c r="Q29" s="712">
        <f t="shared" si="5"/>
        <v>14123000</v>
      </c>
    </row>
    <row r="30" spans="1:19" ht="15.75" thickBot="1">
      <c r="A30" s="35"/>
      <c r="B30" s="52"/>
      <c r="C30" s="37" t="s">
        <v>45</v>
      </c>
      <c r="D30" s="53">
        <f>SUM(D15:D29)</f>
        <v>170212000</v>
      </c>
      <c r="E30" s="53">
        <f>SUM(E15:E29)</f>
        <v>177524040</v>
      </c>
      <c r="F30" s="53">
        <f>SUM(F15:F29)</f>
        <v>0</v>
      </c>
      <c r="G30" s="53">
        <f t="shared" ref="G30" si="9">SUM(G15:G29)</f>
        <v>0</v>
      </c>
      <c r="H30" s="53">
        <f>SUM(H15:H29)</f>
        <v>126945927</v>
      </c>
      <c r="I30" s="214">
        <f>H30/E30*100</f>
        <v>71.509147155506383</v>
      </c>
      <c r="J30" s="53">
        <f>SUM(J15:J29)</f>
        <v>126945927</v>
      </c>
      <c r="K30" s="214">
        <f>J30/E30*100</f>
        <v>71.509147155506383</v>
      </c>
      <c r="L30" s="332">
        <f>11/12</f>
        <v>0.91666666666666663</v>
      </c>
      <c r="M30" s="214">
        <f>K30</f>
        <v>71.509147155506383</v>
      </c>
      <c r="N30" s="53"/>
      <c r="Q30" s="713">
        <f>SUM(Q15:Q29)</f>
        <v>43266073</v>
      </c>
      <c r="R30" s="178">
        <f>D30-H30</f>
        <v>43266073</v>
      </c>
    </row>
    <row r="31" spans="1:19">
      <c r="A31" s="54" t="s">
        <v>29</v>
      </c>
      <c r="B31" s="55" t="s">
        <v>90</v>
      </c>
      <c r="C31" s="56"/>
      <c r="D31" s="57"/>
      <c r="E31" s="57"/>
      <c r="F31" s="119"/>
      <c r="G31" s="131"/>
      <c r="H31" s="152"/>
      <c r="I31" s="152"/>
      <c r="J31" s="119"/>
      <c r="K31" s="152"/>
      <c r="L31" s="152"/>
      <c r="M31" s="152"/>
      <c r="N31" s="131"/>
      <c r="Q31" s="712"/>
    </row>
    <row r="32" spans="1:19">
      <c r="A32" s="279"/>
      <c r="B32" s="47" t="s">
        <v>53</v>
      </c>
      <c r="C32" s="46" t="s">
        <v>216</v>
      </c>
      <c r="D32" s="80">
        <v>40000000</v>
      </c>
      <c r="E32" s="80">
        <v>40000000</v>
      </c>
      <c r="F32" s="733" t="s">
        <v>132</v>
      </c>
      <c r="G32" s="131"/>
      <c r="H32" s="152">
        <v>40000000</v>
      </c>
      <c r="I32" s="299">
        <f>H32/E32*100</f>
        <v>100</v>
      </c>
      <c r="J32" s="119">
        <f>H32</f>
        <v>40000000</v>
      </c>
      <c r="K32" s="301">
        <f>I32</f>
        <v>100</v>
      </c>
      <c r="L32" s="331">
        <f>11/12</f>
        <v>0.91666666666666663</v>
      </c>
      <c r="M32" s="311">
        <f t="shared" ref="M32" si="10">K32</f>
        <v>100</v>
      </c>
      <c r="N32" s="131"/>
      <c r="Q32" s="712">
        <f t="shared" ref="Q32:Q39" si="11">D32-H32</f>
        <v>0</v>
      </c>
    </row>
    <row r="33" spans="1:18">
      <c r="A33" s="44"/>
      <c r="B33" s="47" t="s">
        <v>46</v>
      </c>
      <c r="C33" s="58" t="s">
        <v>110</v>
      </c>
      <c r="D33" s="59">
        <v>20000000</v>
      </c>
      <c r="E33" s="59">
        <v>19000000</v>
      </c>
      <c r="F33" s="120">
        <v>0</v>
      </c>
      <c r="G33" s="132">
        <v>0</v>
      </c>
      <c r="H33" s="119">
        <v>14475000</v>
      </c>
      <c r="I33" s="299">
        <f>H33/E33*100</f>
        <v>76.18421052631578</v>
      </c>
      <c r="J33" s="119">
        <f>H33</f>
        <v>14475000</v>
      </c>
      <c r="K33" s="301">
        <f t="shared" ref="K33:K37" si="12">I33</f>
        <v>76.18421052631578</v>
      </c>
      <c r="L33" s="331">
        <f t="shared" ref="L33:L37" si="13">11/12</f>
        <v>0.91666666666666663</v>
      </c>
      <c r="M33" s="311">
        <f>K33</f>
        <v>76.18421052631578</v>
      </c>
      <c r="N33" s="132"/>
      <c r="Q33" s="712">
        <f t="shared" si="11"/>
        <v>5525000</v>
      </c>
    </row>
    <row r="34" spans="1:18">
      <c r="A34" s="44"/>
      <c r="B34" s="47">
        <v>21</v>
      </c>
      <c r="C34" s="48" t="s">
        <v>47</v>
      </c>
      <c r="D34" s="59">
        <v>30000000</v>
      </c>
      <c r="E34" s="59">
        <v>30000000</v>
      </c>
      <c r="F34" s="120">
        <v>0</v>
      </c>
      <c r="G34" s="132">
        <v>0</v>
      </c>
      <c r="H34" s="206">
        <v>30000000</v>
      </c>
      <c r="I34" s="299">
        <f>H34/E34*100</f>
        <v>100</v>
      </c>
      <c r="J34" s="119">
        <f t="shared" ref="J34:J35" si="14">H34</f>
        <v>30000000</v>
      </c>
      <c r="K34" s="301">
        <f t="shared" si="12"/>
        <v>100</v>
      </c>
      <c r="L34" s="331">
        <f t="shared" si="13"/>
        <v>0.91666666666666663</v>
      </c>
      <c r="M34" s="311">
        <f>K34</f>
        <v>100</v>
      </c>
      <c r="N34" s="132"/>
      <c r="Q34" s="712">
        <f t="shared" si="11"/>
        <v>0</v>
      </c>
    </row>
    <row r="35" spans="1:18">
      <c r="A35" s="44"/>
      <c r="B35" s="47">
        <v>22</v>
      </c>
      <c r="C35" s="48" t="s">
        <v>48</v>
      </c>
      <c r="D35" s="60">
        <v>30000000</v>
      </c>
      <c r="E35" s="60">
        <v>33000000</v>
      </c>
      <c r="F35" s="120">
        <v>0</v>
      </c>
      <c r="G35" s="132">
        <v>0</v>
      </c>
      <c r="H35" s="206">
        <v>30000000</v>
      </c>
      <c r="I35" s="299">
        <f t="shared" ref="I35:I39" si="15">H35/E35*100</f>
        <v>90.909090909090907</v>
      </c>
      <c r="J35" s="119">
        <f t="shared" si="14"/>
        <v>30000000</v>
      </c>
      <c r="K35" s="301">
        <f t="shared" si="12"/>
        <v>90.909090909090907</v>
      </c>
      <c r="L35" s="331">
        <f t="shared" si="13"/>
        <v>0.91666666666666663</v>
      </c>
      <c r="M35" s="311">
        <f t="shared" ref="M35" si="16">K35</f>
        <v>90.909090909090907</v>
      </c>
      <c r="N35" s="154"/>
      <c r="Q35" s="712">
        <f t="shared" si="11"/>
        <v>0</v>
      </c>
    </row>
    <row r="36" spans="1:18">
      <c r="A36" s="44"/>
      <c r="B36" s="47">
        <v>24</v>
      </c>
      <c r="C36" s="48" t="s">
        <v>49</v>
      </c>
      <c r="D36" s="60">
        <v>35000000</v>
      </c>
      <c r="E36" s="60">
        <v>36000000</v>
      </c>
      <c r="F36" s="120">
        <v>0</v>
      </c>
      <c r="G36" s="132">
        <v>0</v>
      </c>
      <c r="H36" s="708">
        <f>6051250+1700000+2418000+4557000+2750000+2922500+4902000</f>
        <v>25300750</v>
      </c>
      <c r="I36" s="299">
        <f>H36/E36*100</f>
        <v>70.279861111111103</v>
      </c>
      <c r="J36" s="192">
        <f>H36</f>
        <v>25300750</v>
      </c>
      <c r="K36" s="301">
        <f t="shared" si="12"/>
        <v>70.279861111111103</v>
      </c>
      <c r="L36" s="331">
        <f t="shared" si="13"/>
        <v>0.91666666666666663</v>
      </c>
      <c r="M36" s="311">
        <f>K36</f>
        <v>70.279861111111103</v>
      </c>
      <c r="N36" s="132"/>
      <c r="Q36" s="712">
        <f t="shared" si="11"/>
        <v>9699250</v>
      </c>
    </row>
    <row r="37" spans="1:18">
      <c r="A37" s="44"/>
      <c r="B37" s="47">
        <v>26</v>
      </c>
      <c r="C37" s="48" t="s">
        <v>50</v>
      </c>
      <c r="D37" s="60">
        <v>4000000</v>
      </c>
      <c r="E37" s="60">
        <v>4000000</v>
      </c>
      <c r="F37" s="120">
        <v>0</v>
      </c>
      <c r="G37" s="132">
        <v>0</v>
      </c>
      <c r="H37" s="708">
        <v>3500000</v>
      </c>
      <c r="I37" s="299">
        <f t="shared" si="15"/>
        <v>87.5</v>
      </c>
      <c r="J37" s="192">
        <f>H37</f>
        <v>3500000</v>
      </c>
      <c r="K37" s="301">
        <f t="shared" si="12"/>
        <v>87.5</v>
      </c>
      <c r="L37" s="331">
        <f t="shared" si="13"/>
        <v>0.91666666666666663</v>
      </c>
      <c r="M37" s="311">
        <f t="shared" ref="M37:M39" si="17">K37</f>
        <v>87.5</v>
      </c>
      <c r="N37" s="132"/>
      <c r="Q37" s="712">
        <f t="shared" si="11"/>
        <v>500000</v>
      </c>
    </row>
    <row r="38" spans="1:18">
      <c r="A38" s="44"/>
      <c r="B38" s="47">
        <v>28</v>
      </c>
      <c r="C38" s="48" t="s">
        <v>51</v>
      </c>
      <c r="D38" s="60">
        <v>12000000</v>
      </c>
      <c r="E38" s="60">
        <v>12000000</v>
      </c>
      <c r="F38" s="120">
        <v>0</v>
      </c>
      <c r="G38" s="132">
        <v>0</v>
      </c>
      <c r="H38" s="708">
        <f>300000+300000+2250000+1000000+400000+1250000+500000+750000+200000+950000+2250000</f>
        <v>10150000</v>
      </c>
      <c r="I38" s="299">
        <f t="shared" si="15"/>
        <v>84.583333333333329</v>
      </c>
      <c r="J38" s="192">
        <f>H38</f>
        <v>10150000</v>
      </c>
      <c r="K38" s="301">
        <f>I38</f>
        <v>84.583333333333329</v>
      </c>
      <c r="L38" s="331">
        <f>11/12</f>
        <v>0.91666666666666663</v>
      </c>
      <c r="M38" s="311">
        <f>K38</f>
        <v>84.583333333333329</v>
      </c>
      <c r="N38" s="132"/>
      <c r="Q38" s="712">
        <f t="shared" si="11"/>
        <v>1850000</v>
      </c>
    </row>
    <row r="39" spans="1:18">
      <c r="A39" s="44"/>
      <c r="B39" s="61">
        <v>29</v>
      </c>
      <c r="C39" s="50" t="s">
        <v>52</v>
      </c>
      <c r="D39" s="62">
        <v>2000000</v>
      </c>
      <c r="E39" s="62">
        <v>2000000</v>
      </c>
      <c r="F39" s="121">
        <v>0</v>
      </c>
      <c r="G39" s="133">
        <v>0</v>
      </c>
      <c r="H39" s="706">
        <f>200000+100000+390000+350000+460000</f>
        <v>1500000</v>
      </c>
      <c r="I39" s="300">
        <f t="shared" si="15"/>
        <v>75</v>
      </c>
      <c r="J39" s="313">
        <f t="shared" ref="J39" si="18">H39</f>
        <v>1500000</v>
      </c>
      <c r="K39" s="314">
        <f>I39</f>
        <v>75</v>
      </c>
      <c r="L39" s="331">
        <f>11/12</f>
        <v>0.91666666666666663</v>
      </c>
      <c r="M39" s="311">
        <f t="shared" si="17"/>
        <v>75</v>
      </c>
      <c r="N39" s="133"/>
      <c r="Q39" s="712">
        <f t="shared" si="11"/>
        <v>500000</v>
      </c>
    </row>
    <row r="40" spans="1:18">
      <c r="A40" s="63"/>
      <c r="B40" s="64"/>
      <c r="C40" s="65" t="s">
        <v>45</v>
      </c>
      <c r="D40" s="66">
        <f>SUM(D32:D39)</f>
        <v>173000000</v>
      </c>
      <c r="E40" s="66">
        <f>SUM(E32:E39)</f>
        <v>176000000</v>
      </c>
      <c r="F40" s="122"/>
      <c r="G40" s="66"/>
      <c r="H40" s="285">
        <f>SUM(H32:H39)</f>
        <v>154925750</v>
      </c>
      <c r="I40" s="302">
        <f>H40/E40*100</f>
        <v>88.025994318181816</v>
      </c>
      <c r="J40" s="286">
        <f>SUM(J32:J39)</f>
        <v>154925750</v>
      </c>
      <c r="K40" s="323">
        <f>I40</f>
        <v>88.025994318181816</v>
      </c>
      <c r="L40" s="333">
        <f>11/12</f>
        <v>0.91666666666666663</v>
      </c>
      <c r="M40" s="302">
        <f>K40</f>
        <v>88.025994318181816</v>
      </c>
      <c r="N40" s="66"/>
      <c r="Q40" s="713">
        <f>SUM(Q32:Q39)</f>
        <v>18074250</v>
      </c>
      <c r="R40" s="734">
        <v>18074250</v>
      </c>
    </row>
    <row r="41" spans="1:18">
      <c r="A41" s="67" t="s">
        <v>53</v>
      </c>
      <c r="B41" s="68" t="s">
        <v>54</v>
      </c>
      <c r="C41" s="69"/>
      <c r="D41" s="70"/>
      <c r="E41" s="70"/>
      <c r="F41" s="123"/>
      <c r="G41" s="134"/>
      <c r="H41" s="164"/>
      <c r="I41" s="148"/>
      <c r="J41" s="164"/>
      <c r="K41" s="152"/>
      <c r="L41" s="152"/>
      <c r="M41" s="156"/>
      <c r="N41" s="134"/>
      <c r="Q41" s="712"/>
    </row>
    <row r="42" spans="1:18">
      <c r="A42" s="44"/>
      <c r="B42" s="47" t="s">
        <v>26</v>
      </c>
      <c r="C42" s="48" t="s">
        <v>55</v>
      </c>
      <c r="D42" s="60">
        <v>25000000</v>
      </c>
      <c r="E42" s="60">
        <v>15000000</v>
      </c>
      <c r="F42" s="120">
        <v>0</v>
      </c>
      <c r="G42" s="208">
        <v>0</v>
      </c>
      <c r="H42" s="197" t="s">
        <v>132</v>
      </c>
      <c r="I42" s="59" t="s">
        <v>132</v>
      </c>
      <c r="J42" s="197" t="s">
        <v>132</v>
      </c>
      <c r="K42" s="59" t="s">
        <v>132</v>
      </c>
      <c r="L42" s="59">
        <v>0</v>
      </c>
      <c r="M42" s="59">
        <v>0</v>
      </c>
      <c r="N42" s="132"/>
      <c r="Q42" s="712"/>
    </row>
    <row r="43" spans="1:18">
      <c r="A43" s="63"/>
      <c r="B43" s="71"/>
      <c r="C43" s="65" t="s">
        <v>45</v>
      </c>
      <c r="D43" s="66">
        <f>SUM(D42:D42)</f>
        <v>25000000</v>
      </c>
      <c r="E43" s="66">
        <f>SUM(E42)</f>
        <v>15000000</v>
      </c>
      <c r="F43" s="122">
        <f>SUM(F42:F42)</f>
        <v>0</v>
      </c>
      <c r="G43" s="202">
        <f>SUM(G42:G42)</f>
        <v>0</v>
      </c>
      <c r="H43" s="122" t="s">
        <v>132</v>
      </c>
      <c r="I43" s="66" t="s">
        <v>132</v>
      </c>
      <c r="J43" s="122" t="s">
        <v>132</v>
      </c>
      <c r="K43" s="155" t="s">
        <v>132</v>
      </c>
      <c r="L43" s="66">
        <f>SUM(L42:L42)</f>
        <v>0</v>
      </c>
      <c r="M43" s="66">
        <f>SUM(M42:M42)</f>
        <v>0</v>
      </c>
      <c r="N43" s="66"/>
      <c r="Q43" s="712"/>
    </row>
    <row r="44" spans="1:18">
      <c r="A44" s="44">
        <v>15</v>
      </c>
      <c r="B44" s="72" t="s">
        <v>61</v>
      </c>
      <c r="C44" s="73"/>
      <c r="D44" s="57"/>
      <c r="E44" s="57"/>
      <c r="F44" s="119"/>
      <c r="G44" s="209"/>
      <c r="H44" s="119" t="s">
        <v>132</v>
      </c>
      <c r="I44" s="152" t="s">
        <v>132</v>
      </c>
      <c r="J44" s="119" t="s">
        <v>132</v>
      </c>
      <c r="K44" s="152" t="s">
        <v>132</v>
      </c>
      <c r="L44" s="152"/>
      <c r="M44" s="152"/>
      <c r="N44" s="131"/>
      <c r="Q44" s="712"/>
    </row>
    <row r="45" spans="1:18">
      <c r="A45" s="44"/>
      <c r="B45" s="47">
        <v>18</v>
      </c>
      <c r="C45" s="48" t="s">
        <v>62</v>
      </c>
      <c r="D45" s="60">
        <v>5000000</v>
      </c>
      <c r="E45" s="60">
        <v>5000000</v>
      </c>
      <c r="F45" s="120">
        <v>0</v>
      </c>
      <c r="G45" s="208">
        <v>0</v>
      </c>
      <c r="H45" s="120">
        <v>5000000</v>
      </c>
      <c r="I45" s="299">
        <f>H45/E45*100</f>
        <v>100</v>
      </c>
      <c r="J45" s="120">
        <f>H45</f>
        <v>5000000</v>
      </c>
      <c r="K45" s="301">
        <f>I45</f>
        <v>100</v>
      </c>
      <c r="L45" s="331">
        <f>11/12</f>
        <v>0.91666666666666663</v>
      </c>
      <c r="M45" s="301">
        <f>K45</f>
        <v>100</v>
      </c>
      <c r="N45" s="132"/>
      <c r="Q45" s="712"/>
    </row>
    <row r="46" spans="1:18" ht="25.5">
      <c r="A46" s="44"/>
      <c r="B46" s="49">
        <v>63</v>
      </c>
      <c r="C46" s="244" t="s">
        <v>63</v>
      </c>
      <c r="D46" s="62">
        <v>5000000</v>
      </c>
      <c r="E46" s="62">
        <v>5000000</v>
      </c>
      <c r="F46" s="121">
        <v>0</v>
      </c>
      <c r="G46" s="210">
        <v>0</v>
      </c>
      <c r="H46" s="121">
        <v>5000000</v>
      </c>
      <c r="I46" s="299">
        <f>H46/E46*100</f>
        <v>100</v>
      </c>
      <c r="J46" s="120">
        <f>H46</f>
        <v>5000000</v>
      </c>
      <c r="K46" s="314">
        <f>I46</f>
        <v>100</v>
      </c>
      <c r="L46" s="331">
        <f>11/12</f>
        <v>0.91666666666666663</v>
      </c>
      <c r="M46" s="528">
        <f>K46</f>
        <v>100</v>
      </c>
      <c r="N46" s="133"/>
      <c r="Q46" s="712"/>
    </row>
    <row r="47" spans="1:18">
      <c r="A47" s="63"/>
      <c r="B47" s="64"/>
      <c r="C47" s="65" t="s">
        <v>45</v>
      </c>
      <c r="D47" s="66">
        <f>SUM(D45:D46)</f>
        <v>10000000</v>
      </c>
      <c r="E47" s="66">
        <f>SUM(E45:E46)</f>
        <v>10000000</v>
      </c>
      <c r="F47" s="122">
        <f t="shared" ref="F47" si="19">SUM(F45:F46)</f>
        <v>0</v>
      </c>
      <c r="G47" s="202">
        <f>SUM(G45:G46)</f>
        <v>0</v>
      </c>
      <c r="H47" s="195">
        <f>SUM(H45:H46)</f>
        <v>10000000</v>
      </c>
      <c r="I47" s="302">
        <f>H47/E47*100</f>
        <v>100</v>
      </c>
      <c r="J47" s="195">
        <f>SUM(J45:J46)</f>
        <v>10000000</v>
      </c>
      <c r="K47" s="323">
        <f>I47</f>
        <v>100</v>
      </c>
      <c r="L47" s="356">
        <f>L46</f>
        <v>0.91666666666666663</v>
      </c>
      <c r="M47" s="302">
        <f>K47</f>
        <v>100</v>
      </c>
      <c r="N47" s="66"/>
      <c r="Q47" s="712"/>
    </row>
    <row r="48" spans="1:18">
      <c r="A48" s="44">
        <v>30</v>
      </c>
      <c r="B48" s="77" t="s">
        <v>64</v>
      </c>
      <c r="C48" s="78"/>
      <c r="D48" s="57"/>
      <c r="E48" s="57"/>
      <c r="F48" s="119"/>
      <c r="G48" s="209"/>
      <c r="H48" s="119"/>
      <c r="I48" s="152"/>
      <c r="J48" s="119"/>
      <c r="K48" s="152"/>
      <c r="L48" s="152"/>
      <c r="M48" s="311"/>
      <c r="N48" s="131"/>
      <c r="Q48" s="712"/>
    </row>
    <row r="49" spans="1:18">
      <c r="A49" s="44"/>
      <c r="B49" s="45">
        <v>2</v>
      </c>
      <c r="C49" s="79" t="s">
        <v>102</v>
      </c>
      <c r="D49" s="80">
        <v>200000000</v>
      </c>
      <c r="E49" s="91">
        <v>199258000</v>
      </c>
      <c r="F49" s="124">
        <v>0</v>
      </c>
      <c r="G49" s="209">
        <v>0</v>
      </c>
      <c r="H49" s="124">
        <v>199258000</v>
      </c>
      <c r="I49" s="300">
        <f>H49/E49*100</f>
        <v>100</v>
      </c>
      <c r="J49" s="120">
        <f>H49</f>
        <v>199258000</v>
      </c>
      <c r="K49" s="314">
        <f>I49</f>
        <v>100</v>
      </c>
      <c r="L49" s="331">
        <f>11/12</f>
        <v>0.91666666666666663</v>
      </c>
      <c r="M49" s="311">
        <f>K49</f>
        <v>100</v>
      </c>
      <c r="N49" s="131"/>
      <c r="Q49" s="712">
        <f t="shared" ref="Q49" si="20">D49-H49</f>
        <v>742000</v>
      </c>
      <c r="R49" s="178">
        <f>D49-E49</f>
        <v>742000</v>
      </c>
    </row>
    <row r="50" spans="1:18">
      <c r="A50" s="63"/>
      <c r="B50" s="64"/>
      <c r="C50" s="65" t="s">
        <v>45</v>
      </c>
      <c r="D50" s="66">
        <f>SUM(D48:D49)</f>
        <v>200000000</v>
      </c>
      <c r="E50" s="66">
        <f>SUM(E49)</f>
        <v>199258000</v>
      </c>
      <c r="F50" s="66">
        <f>SUM(F48:F49)</f>
        <v>0</v>
      </c>
      <c r="G50" s="202">
        <f>SUM(G48:G49)</f>
        <v>0</v>
      </c>
      <c r="H50" s="122">
        <f>SUM(H49)</f>
        <v>199258000</v>
      </c>
      <c r="I50" s="735">
        <f>H50/E50*100</f>
        <v>100</v>
      </c>
      <c r="J50" s="122">
        <f>SUM(J49)</f>
        <v>199258000</v>
      </c>
      <c r="K50" s="323">
        <f>I50</f>
        <v>100</v>
      </c>
      <c r="L50" s="356">
        <f>L49</f>
        <v>0.91666666666666663</v>
      </c>
      <c r="M50" s="302">
        <f>K50</f>
        <v>100</v>
      </c>
      <c r="N50" s="66"/>
      <c r="Q50" s="713">
        <f>SUM(Q49)</f>
        <v>742000</v>
      </c>
    </row>
    <row r="51" spans="1:18">
      <c r="A51" s="44">
        <v>21</v>
      </c>
      <c r="B51" s="81" t="s">
        <v>65</v>
      </c>
      <c r="C51" s="82"/>
      <c r="D51" s="57"/>
      <c r="E51" s="70"/>
      <c r="F51" s="719"/>
      <c r="G51" s="209"/>
      <c r="H51" s="119"/>
      <c r="I51" s="152"/>
      <c r="J51" s="119"/>
      <c r="K51" s="152"/>
      <c r="L51" s="152"/>
      <c r="M51" s="311"/>
      <c r="N51" s="131"/>
      <c r="Q51" s="712"/>
    </row>
    <row r="52" spans="1:18">
      <c r="A52" s="44"/>
      <c r="B52" s="47" t="s">
        <v>46</v>
      </c>
      <c r="C52" s="48" t="s">
        <v>66</v>
      </c>
      <c r="D52" s="60">
        <v>20000000</v>
      </c>
      <c r="E52" s="60">
        <v>20000000</v>
      </c>
      <c r="F52" s="125">
        <v>0</v>
      </c>
      <c r="G52" s="211">
        <v>0</v>
      </c>
      <c r="H52" s="199">
        <v>20000000</v>
      </c>
      <c r="I52" s="312">
        <f>H52/E52*100</f>
        <v>100</v>
      </c>
      <c r="J52" s="197">
        <f>H52</f>
        <v>20000000</v>
      </c>
      <c r="K52" s="301">
        <f>I52</f>
        <v>100</v>
      </c>
      <c r="L52" s="331">
        <f>11/12</f>
        <v>0.91666666666666663</v>
      </c>
      <c r="M52" s="301">
        <f>K52</f>
        <v>100</v>
      </c>
      <c r="N52" s="132"/>
      <c r="Q52" s="712"/>
    </row>
    <row r="53" spans="1:18">
      <c r="A53" s="63"/>
      <c r="B53" s="83"/>
      <c r="C53" s="65" t="s">
        <v>45</v>
      </c>
      <c r="D53" s="66">
        <f>SUM(D52:D52)</f>
        <v>20000000</v>
      </c>
      <c r="E53" s="66">
        <f>SUM(E52:E52)</f>
        <v>20000000</v>
      </c>
      <c r="F53" s="720">
        <f t="shared" ref="F53:G53" si="21">SUM(F50:F52)</f>
        <v>0</v>
      </c>
      <c r="G53" s="202">
        <f t="shared" si="21"/>
        <v>0</v>
      </c>
      <c r="H53" s="122">
        <f>SUM(H52)</f>
        <v>20000000</v>
      </c>
      <c r="I53" s="323">
        <f>H53/D53*100</f>
        <v>100</v>
      </c>
      <c r="J53" s="122">
        <f>SUM(J52)</f>
        <v>20000000</v>
      </c>
      <c r="K53" s="302">
        <f>I53</f>
        <v>100</v>
      </c>
      <c r="L53" s="356">
        <f>L52</f>
        <v>0.91666666666666663</v>
      </c>
      <c r="M53" s="302">
        <f>SUM(M52)</f>
        <v>100</v>
      </c>
      <c r="N53" s="66"/>
      <c r="Q53" s="712"/>
    </row>
    <row r="54" spans="1:18">
      <c r="A54" s="84">
        <v>18</v>
      </c>
      <c r="B54" s="826" t="s">
        <v>96</v>
      </c>
      <c r="C54" s="827"/>
      <c r="D54" s="57"/>
      <c r="E54" s="57"/>
      <c r="F54" s="719"/>
      <c r="G54" s="209"/>
      <c r="H54" s="119"/>
      <c r="I54" s="152"/>
      <c r="J54" s="119"/>
      <c r="K54" s="152"/>
      <c r="L54" s="152"/>
      <c r="M54" s="152"/>
      <c r="N54" s="131"/>
      <c r="Q54" s="712"/>
    </row>
    <row r="55" spans="1:18">
      <c r="A55" s="84"/>
      <c r="B55" s="830" t="s">
        <v>95</v>
      </c>
      <c r="C55" s="831"/>
      <c r="D55" s="57"/>
      <c r="E55" s="57"/>
      <c r="F55" s="124"/>
      <c r="G55" s="209"/>
      <c r="H55" s="119"/>
      <c r="I55" s="152"/>
      <c r="J55" s="119"/>
      <c r="K55" s="152"/>
      <c r="L55" s="152"/>
      <c r="M55" s="152"/>
      <c r="N55" s="131"/>
      <c r="Q55" s="712"/>
    </row>
    <row r="56" spans="1:18">
      <c r="A56" s="44"/>
      <c r="B56" s="47" t="s">
        <v>26</v>
      </c>
      <c r="C56" s="48" t="s">
        <v>67</v>
      </c>
      <c r="D56" s="60">
        <v>20000000</v>
      </c>
      <c r="E56" s="60">
        <v>25000000</v>
      </c>
      <c r="F56" s="125">
        <v>0</v>
      </c>
      <c r="G56" s="211">
        <v>0</v>
      </c>
      <c r="H56" s="199">
        <v>20000000</v>
      </c>
      <c r="I56" s="299">
        <f>H56/E56*100</f>
        <v>80</v>
      </c>
      <c r="J56" s="119">
        <f t="shared" ref="J56" si="22">H56</f>
        <v>20000000</v>
      </c>
      <c r="K56" s="301">
        <f>I56</f>
        <v>80</v>
      </c>
      <c r="L56" s="59">
        <v>0</v>
      </c>
      <c r="M56" s="59">
        <v>0</v>
      </c>
      <c r="N56" s="132"/>
      <c r="Q56" s="712"/>
      <c r="R56" s="734">
        <v>5000000</v>
      </c>
    </row>
    <row r="57" spans="1:18">
      <c r="A57" s="44"/>
      <c r="B57" s="47" t="s">
        <v>29</v>
      </c>
      <c r="C57" s="204" t="s">
        <v>220</v>
      </c>
      <c r="D57" s="179">
        <v>7000000</v>
      </c>
      <c r="E57" s="179">
        <v>-7000000</v>
      </c>
      <c r="F57" s="180">
        <v>0</v>
      </c>
      <c r="G57" s="181">
        <v>0</v>
      </c>
      <c r="H57" s="207">
        <v>0</v>
      </c>
      <c r="I57" s="148" t="s">
        <v>132</v>
      </c>
      <c r="J57" s="119">
        <v>0</v>
      </c>
      <c r="K57" s="148" t="s">
        <v>132</v>
      </c>
      <c r="L57" s="59">
        <v>0</v>
      </c>
      <c r="M57" s="148">
        <v>0</v>
      </c>
      <c r="N57" s="165"/>
      <c r="Q57" s="712"/>
    </row>
    <row r="58" spans="1:18">
      <c r="A58" s="44"/>
      <c r="B58" s="47"/>
      <c r="C58" s="48" t="s">
        <v>117</v>
      </c>
      <c r="D58" s="60"/>
      <c r="E58" s="60"/>
      <c r="F58" s="125"/>
      <c r="G58" s="135"/>
      <c r="H58" s="199"/>
      <c r="I58" s="157"/>
      <c r="J58" s="197"/>
      <c r="K58" s="59"/>
      <c r="L58" s="59"/>
      <c r="M58" s="59"/>
      <c r="N58" s="132"/>
      <c r="Q58" s="712"/>
    </row>
    <row r="59" spans="1:18">
      <c r="A59" s="63"/>
      <c r="B59" s="71"/>
      <c r="C59" s="65" t="s">
        <v>45</v>
      </c>
      <c r="D59" s="66">
        <f>SUM(D56:D58)</f>
        <v>27000000</v>
      </c>
      <c r="E59" s="66">
        <f>E56</f>
        <v>25000000</v>
      </c>
      <c r="F59" s="720">
        <f t="shared" ref="F59" si="23">SUM(F56:F56)</f>
        <v>0</v>
      </c>
      <c r="G59" s="66">
        <f>SUM(G56:G56)</f>
        <v>0</v>
      </c>
      <c r="H59" s="122">
        <f>SUM(H56:H58)</f>
        <v>20000000</v>
      </c>
      <c r="I59" s="302">
        <f>H59/E59*100</f>
        <v>80</v>
      </c>
      <c r="J59" s="122">
        <f>SUM(J56:J58)</f>
        <v>20000000</v>
      </c>
      <c r="K59" s="302">
        <f>I59</f>
        <v>80</v>
      </c>
      <c r="L59" s="66">
        <f>SUM(L56:L58)</f>
        <v>0</v>
      </c>
      <c r="M59" s="66">
        <f t="shared" ref="M59" si="24">SUM(M56:M56)</f>
        <v>0</v>
      </c>
      <c r="N59" s="66"/>
      <c r="Q59" s="712"/>
    </row>
    <row r="60" spans="1:18">
      <c r="A60" s="84">
        <v>17</v>
      </c>
      <c r="B60" s="826" t="s">
        <v>130</v>
      </c>
      <c r="C60" s="827"/>
      <c r="D60" s="57"/>
      <c r="E60" s="57"/>
      <c r="F60" s="719"/>
      <c r="G60" s="131"/>
      <c r="H60" s="119"/>
      <c r="I60" s="152"/>
      <c r="J60" s="119"/>
      <c r="K60" s="152"/>
      <c r="L60" s="152"/>
      <c r="M60" s="152"/>
      <c r="N60" s="131"/>
      <c r="Q60" s="712"/>
    </row>
    <row r="61" spans="1:18">
      <c r="A61" s="44"/>
      <c r="B61" s="47" t="s">
        <v>53</v>
      </c>
      <c r="C61" s="48" t="s">
        <v>131</v>
      </c>
      <c r="D61" s="60">
        <v>24000000</v>
      </c>
      <c r="E61" s="60">
        <v>19000000</v>
      </c>
      <c r="F61" s="125">
        <v>0</v>
      </c>
      <c r="G61" s="135">
        <v>0</v>
      </c>
      <c r="H61" s="197">
        <v>19000000</v>
      </c>
      <c r="I61" s="300">
        <f>H61/E61*100</f>
        <v>100</v>
      </c>
      <c r="J61" s="197">
        <f>H61</f>
        <v>19000000</v>
      </c>
      <c r="K61" s="301">
        <f>I61</f>
        <v>100</v>
      </c>
      <c r="L61" s="331">
        <f>11/12</f>
        <v>0.91666666666666663</v>
      </c>
      <c r="M61" s="301">
        <f>K61</f>
        <v>100</v>
      </c>
      <c r="N61" s="132"/>
      <c r="Q61" s="712"/>
    </row>
    <row r="62" spans="1:18">
      <c r="A62" s="63"/>
      <c r="B62" s="64"/>
      <c r="C62" s="65" t="s">
        <v>45</v>
      </c>
      <c r="D62" s="66">
        <f>SUM(D61:D61)</f>
        <v>24000000</v>
      </c>
      <c r="E62" s="66">
        <f>SUM(E61:E61)</f>
        <v>19000000</v>
      </c>
      <c r="F62" s="720">
        <f t="shared" ref="F62:G62" si="25">SUM(F60:F61)</f>
        <v>0</v>
      </c>
      <c r="G62" s="66">
        <f t="shared" si="25"/>
        <v>0</v>
      </c>
      <c r="H62" s="122">
        <f>SUM(H61)</f>
        <v>19000000</v>
      </c>
      <c r="I62" s="735">
        <f>H62/E62*100</f>
        <v>100</v>
      </c>
      <c r="J62" s="122">
        <f>SUM(J61)</f>
        <v>19000000</v>
      </c>
      <c r="K62" s="302">
        <f>I62</f>
        <v>100</v>
      </c>
      <c r="L62" s="356">
        <f>L61</f>
        <v>0.91666666666666663</v>
      </c>
      <c r="M62" s="302">
        <f t="shared" ref="M62" si="26">SUM(M60:M61)</f>
        <v>100</v>
      </c>
      <c r="N62" s="66"/>
      <c r="Q62" s="712"/>
    </row>
    <row r="63" spans="1:18">
      <c r="A63" s="44">
        <v>15</v>
      </c>
      <c r="B63" s="704" t="s">
        <v>68</v>
      </c>
      <c r="C63" s="86"/>
      <c r="D63" s="57"/>
      <c r="E63" s="57"/>
      <c r="F63" s="719"/>
      <c r="G63" s="131"/>
      <c r="H63" s="119"/>
      <c r="I63" s="152"/>
      <c r="J63" s="119"/>
      <c r="K63" s="152"/>
      <c r="L63" s="152"/>
      <c r="M63" s="152"/>
      <c r="N63" s="131"/>
      <c r="Q63" s="712"/>
    </row>
    <row r="64" spans="1:18" ht="26.25">
      <c r="A64" s="44"/>
      <c r="B64" s="49" t="s">
        <v>80</v>
      </c>
      <c r="C64" s="50" t="s">
        <v>118</v>
      </c>
      <c r="D64" s="62">
        <v>10000000</v>
      </c>
      <c r="E64" s="62">
        <v>7500000</v>
      </c>
      <c r="F64" s="125">
        <v>0</v>
      </c>
      <c r="G64" s="135">
        <v>0</v>
      </c>
      <c r="H64" s="119" t="s">
        <v>132</v>
      </c>
      <c r="I64" s="59" t="s">
        <v>132</v>
      </c>
      <c r="J64" s="119" t="s">
        <v>132</v>
      </c>
      <c r="K64" s="59" t="s">
        <v>132</v>
      </c>
      <c r="L64" s="339"/>
      <c r="M64" s="59">
        <v>0</v>
      </c>
      <c r="N64" s="132"/>
      <c r="Q64" s="712"/>
    </row>
    <row r="65" spans="1:17">
      <c r="A65" s="44"/>
      <c r="B65" s="49" t="s">
        <v>69</v>
      </c>
      <c r="C65" s="50" t="s">
        <v>70</v>
      </c>
      <c r="D65" s="62">
        <v>60000000</v>
      </c>
      <c r="E65" s="62">
        <v>60000000</v>
      </c>
      <c r="F65" s="125">
        <v>0</v>
      </c>
      <c r="G65" s="135">
        <v>0</v>
      </c>
      <c r="H65" s="197">
        <v>60000000</v>
      </c>
      <c r="I65" s="300">
        <f>H65/E65*100</f>
        <v>100</v>
      </c>
      <c r="J65" s="197">
        <f>H65</f>
        <v>60000000</v>
      </c>
      <c r="K65" s="301">
        <f>I65</f>
        <v>100</v>
      </c>
      <c r="L65" s="331">
        <f>11/12</f>
        <v>0.91666666666666663</v>
      </c>
      <c r="M65" s="301">
        <f>K65</f>
        <v>100</v>
      </c>
      <c r="N65" s="132"/>
      <c r="Q65" s="712"/>
    </row>
    <row r="66" spans="1:17">
      <c r="A66" s="63"/>
      <c r="B66" s="64"/>
      <c r="C66" s="65" t="s">
        <v>45</v>
      </c>
      <c r="D66" s="66">
        <f>SUM(D64:D65)</f>
        <v>70000000</v>
      </c>
      <c r="E66" s="66">
        <f>SUM(E64:E65)</f>
        <v>67500000</v>
      </c>
      <c r="F66" s="720">
        <f>SUM(F62:F65)</f>
        <v>0</v>
      </c>
      <c r="G66" s="66">
        <f>SUM(G62:G65)</f>
        <v>0</v>
      </c>
      <c r="H66" s="122">
        <f>SUM(H65)</f>
        <v>60000000</v>
      </c>
      <c r="I66" s="735">
        <f>H66/E66*100</f>
        <v>88.888888888888886</v>
      </c>
      <c r="J66" s="122">
        <f>SUM(J65)</f>
        <v>60000000</v>
      </c>
      <c r="K66" s="302">
        <f>I66</f>
        <v>88.888888888888886</v>
      </c>
      <c r="L66" s="356">
        <f>L65</f>
        <v>0.91666666666666663</v>
      </c>
      <c r="M66" s="302">
        <f>SUM(M62:M65)</f>
        <v>200</v>
      </c>
      <c r="N66" s="66"/>
      <c r="Q66" s="712"/>
    </row>
    <row r="67" spans="1:17">
      <c r="A67" s="44">
        <v>16</v>
      </c>
      <c r="B67" s="81" t="s">
        <v>71</v>
      </c>
      <c r="C67" s="82"/>
      <c r="D67" s="57"/>
      <c r="E67" s="57"/>
      <c r="F67" s="719"/>
      <c r="G67" s="131"/>
      <c r="H67" s="119"/>
      <c r="I67" s="152"/>
      <c r="J67" s="119"/>
      <c r="K67" s="152"/>
      <c r="L67" s="152"/>
      <c r="M67" s="152"/>
      <c r="N67" s="131"/>
      <c r="Q67" s="712"/>
    </row>
    <row r="68" spans="1:17">
      <c r="A68" s="44"/>
      <c r="B68" s="47" t="s">
        <v>72</v>
      </c>
      <c r="C68" s="48" t="s">
        <v>73</v>
      </c>
      <c r="D68" s="60">
        <v>5000000</v>
      </c>
      <c r="E68" s="60">
        <v>5000000</v>
      </c>
      <c r="F68" s="721">
        <v>0</v>
      </c>
      <c r="G68" s="132">
        <v>0</v>
      </c>
      <c r="H68" s="120">
        <v>5000000</v>
      </c>
      <c r="I68" s="300">
        <f t="shared" ref="I68" si="27">H68/E68*100</f>
        <v>100</v>
      </c>
      <c r="J68" s="313">
        <f t="shared" ref="J68:J69" si="28">H68</f>
        <v>5000000</v>
      </c>
      <c r="K68" s="314">
        <f>I68</f>
        <v>100</v>
      </c>
      <c r="L68" s="331">
        <f>11/12</f>
        <v>0.91666666666666663</v>
      </c>
      <c r="M68" s="311">
        <f>K68</f>
        <v>100</v>
      </c>
      <c r="N68" s="132"/>
      <c r="Q68" s="712"/>
    </row>
    <row r="69" spans="1:17">
      <c r="A69" s="63"/>
      <c r="B69" s="83"/>
      <c r="C69" s="65" t="s">
        <v>45</v>
      </c>
      <c r="D69" s="66">
        <f>SUM(D68:D68)</f>
        <v>5000000</v>
      </c>
      <c r="E69" s="66">
        <f>SUM(E68:E68)</f>
        <v>5000000</v>
      </c>
      <c r="F69" s="722">
        <f>SUM(F68:F68)</f>
        <v>0</v>
      </c>
      <c r="G69" s="66">
        <f>SUM(G68:G68)</f>
        <v>0</v>
      </c>
      <c r="H69" s="195">
        <f>H68</f>
        <v>5000000</v>
      </c>
      <c r="I69" s="302">
        <f>H69/D69*100</f>
        <v>100</v>
      </c>
      <c r="J69" s="530">
        <f t="shared" si="28"/>
        <v>5000000</v>
      </c>
      <c r="K69" s="531">
        <f>I69</f>
        <v>100</v>
      </c>
      <c r="L69" s="333">
        <f>SUM(L68)</f>
        <v>0.91666666666666663</v>
      </c>
      <c r="M69" s="302">
        <f>SUM(M68)</f>
        <v>100</v>
      </c>
      <c r="N69" s="66"/>
      <c r="Q69" s="712"/>
    </row>
    <row r="70" spans="1:17">
      <c r="A70" s="87" t="s">
        <v>69</v>
      </c>
      <c r="B70" s="826" t="s">
        <v>89</v>
      </c>
      <c r="C70" s="827"/>
      <c r="D70" s="70"/>
      <c r="E70" s="70"/>
      <c r="F70" s="723"/>
      <c r="G70" s="134"/>
      <c r="H70" s="123"/>
      <c r="I70" s="156"/>
      <c r="J70" s="123"/>
      <c r="K70" s="156"/>
      <c r="L70" s="156"/>
      <c r="M70" s="156"/>
      <c r="N70" s="134"/>
      <c r="Q70" s="712"/>
    </row>
    <row r="71" spans="1:17">
      <c r="A71" s="88"/>
      <c r="B71" s="830" t="s">
        <v>88</v>
      </c>
      <c r="C71" s="831"/>
      <c r="D71" s="57"/>
      <c r="E71" s="57"/>
      <c r="F71" s="719"/>
      <c r="G71" s="131"/>
      <c r="H71" s="119"/>
      <c r="I71" s="152"/>
      <c r="J71" s="119"/>
      <c r="K71" s="152"/>
      <c r="L71" s="152"/>
      <c r="M71" s="152"/>
      <c r="N71" s="131"/>
      <c r="Q71" s="712"/>
    </row>
    <row r="72" spans="1:17">
      <c r="A72" s="89"/>
      <c r="B72" s="61" t="s">
        <v>26</v>
      </c>
      <c r="C72" s="90" t="s">
        <v>74</v>
      </c>
      <c r="D72" s="91">
        <v>15000000</v>
      </c>
      <c r="E72" s="91">
        <v>15000000</v>
      </c>
      <c r="F72" s="724">
        <v>0</v>
      </c>
      <c r="G72" s="136">
        <v>0</v>
      </c>
      <c r="H72" s="126">
        <v>15000000</v>
      </c>
      <c r="I72" s="300">
        <f>H72/E72*100</f>
        <v>100</v>
      </c>
      <c r="J72" s="313">
        <f>H72</f>
        <v>15000000</v>
      </c>
      <c r="K72" s="314">
        <f>I72</f>
        <v>100</v>
      </c>
      <c r="L72" s="331">
        <f>11/12</f>
        <v>0.91666666666666663</v>
      </c>
      <c r="M72" s="311">
        <f>K72</f>
        <v>100</v>
      </c>
      <c r="N72" s="136"/>
      <c r="Q72" s="712"/>
    </row>
    <row r="73" spans="1:17">
      <c r="A73" s="63"/>
      <c r="B73" s="83"/>
      <c r="C73" s="65" t="s">
        <v>45</v>
      </c>
      <c r="D73" s="66">
        <f>SUM(D72:D72)</f>
        <v>15000000</v>
      </c>
      <c r="E73" s="66">
        <f>SUM(E72:E72)</f>
        <v>15000000</v>
      </c>
      <c r="F73" s="722">
        <f>SUM(F72:F72)</f>
        <v>0</v>
      </c>
      <c r="G73" s="66">
        <f>SUM(G72:G72)</f>
        <v>0</v>
      </c>
      <c r="H73" s="532">
        <f>SUM(H72)</f>
        <v>15000000</v>
      </c>
      <c r="I73" s="302">
        <f>H73/D73*100</f>
        <v>100</v>
      </c>
      <c r="J73" s="533">
        <f t="shared" ref="J73" si="29">H73</f>
        <v>15000000</v>
      </c>
      <c r="K73" s="340">
        <f>I73</f>
        <v>100</v>
      </c>
      <c r="L73" s="333">
        <f>SUM(L72)</f>
        <v>0.91666666666666663</v>
      </c>
      <c r="M73" s="302">
        <f>SUM(M72)</f>
        <v>100</v>
      </c>
      <c r="N73" s="66"/>
      <c r="Q73" s="712"/>
    </row>
    <row r="74" spans="1:17">
      <c r="A74" s="88"/>
      <c r="B74" s="826" t="s">
        <v>94</v>
      </c>
      <c r="C74" s="827"/>
      <c r="D74" s="57"/>
      <c r="E74" s="57"/>
      <c r="F74" s="719"/>
      <c r="G74" s="131"/>
      <c r="H74" s="119"/>
      <c r="I74" s="152"/>
      <c r="J74" s="119"/>
      <c r="K74" s="152"/>
      <c r="L74" s="152"/>
      <c r="M74" s="152"/>
      <c r="N74" s="131"/>
      <c r="Q74" s="712"/>
    </row>
    <row r="75" spans="1:17">
      <c r="A75" s="84"/>
      <c r="B75" s="92" t="s">
        <v>26</v>
      </c>
      <c r="C75" s="48" t="s">
        <v>134</v>
      </c>
      <c r="D75" s="60">
        <v>4000000</v>
      </c>
      <c r="E75" s="60">
        <v>4000000</v>
      </c>
      <c r="F75" s="125">
        <v>0</v>
      </c>
      <c r="G75" s="135">
        <v>0</v>
      </c>
      <c r="H75" s="197">
        <v>4000000</v>
      </c>
      <c r="I75" s="300">
        <f>H75/E75*100</f>
        <v>100</v>
      </c>
      <c r="J75" s="197">
        <f>H75</f>
        <v>4000000</v>
      </c>
      <c r="K75" s="314">
        <f>I75</f>
        <v>100</v>
      </c>
      <c r="L75" s="331">
        <f>11/12</f>
        <v>0.91666666666666663</v>
      </c>
      <c r="M75" s="301">
        <f>K75</f>
        <v>100</v>
      </c>
      <c r="N75" s="132"/>
      <c r="Q75" s="712"/>
    </row>
    <row r="76" spans="1:17">
      <c r="A76" s="93"/>
      <c r="B76" s="64"/>
      <c r="C76" s="65" t="s">
        <v>45</v>
      </c>
      <c r="D76" s="66">
        <f>SUM(D75:D75)</f>
        <v>4000000</v>
      </c>
      <c r="E76" s="66">
        <f>SUM(E75:E75)</f>
        <v>4000000</v>
      </c>
      <c r="F76" s="720">
        <f t="shared" ref="F76:G76" si="30">SUM(F70:F75)</f>
        <v>0</v>
      </c>
      <c r="G76" s="66">
        <f t="shared" si="30"/>
        <v>0</v>
      </c>
      <c r="H76" s="122">
        <f>SUM(H75)</f>
        <v>4000000</v>
      </c>
      <c r="I76" s="735">
        <f>H76/E76*100</f>
        <v>100</v>
      </c>
      <c r="J76" s="533">
        <f t="shared" ref="J76" si="31">H76</f>
        <v>4000000</v>
      </c>
      <c r="K76" s="340">
        <f>I76</f>
        <v>100</v>
      </c>
      <c r="L76" s="356">
        <f>L75</f>
        <v>0.91666666666666663</v>
      </c>
      <c r="M76" s="302">
        <f>K76</f>
        <v>100</v>
      </c>
      <c r="N76" s="66"/>
      <c r="Q76" s="712"/>
    </row>
    <row r="77" spans="1:17">
      <c r="A77" s="84">
        <v>16</v>
      </c>
      <c r="B77" s="826" t="s">
        <v>75</v>
      </c>
      <c r="C77" s="827"/>
      <c r="D77" s="57"/>
      <c r="E77" s="57"/>
      <c r="F77" s="719"/>
      <c r="G77" s="131"/>
      <c r="H77" s="119"/>
      <c r="I77" s="156"/>
      <c r="J77" s="123"/>
      <c r="K77" s="152"/>
      <c r="L77" s="152"/>
      <c r="M77" s="152"/>
      <c r="N77" s="131"/>
      <c r="Q77" s="712"/>
    </row>
    <row r="78" spans="1:17">
      <c r="A78" s="84"/>
      <c r="B78" s="94" t="s">
        <v>72</v>
      </c>
      <c r="C78" s="95" t="s">
        <v>103</v>
      </c>
      <c r="D78" s="80">
        <v>10000000</v>
      </c>
      <c r="E78" s="80">
        <v>10000000</v>
      </c>
      <c r="F78" s="124"/>
      <c r="G78" s="131"/>
      <c r="H78" s="705">
        <v>9000000</v>
      </c>
      <c r="I78" s="300">
        <f>H78/E78*100</f>
        <v>90</v>
      </c>
      <c r="J78" s="313">
        <f t="shared" ref="J78" si="32">H78</f>
        <v>9000000</v>
      </c>
      <c r="K78" s="314">
        <f>I78</f>
        <v>90</v>
      </c>
      <c r="L78" s="331">
        <f>11/12</f>
        <v>0.91666666666666663</v>
      </c>
      <c r="M78" s="311">
        <f>K78</f>
        <v>90</v>
      </c>
      <c r="N78" s="131"/>
      <c r="Q78" s="712"/>
    </row>
    <row r="79" spans="1:17">
      <c r="A79" s="93"/>
      <c r="B79" s="83"/>
      <c r="C79" s="65" t="s">
        <v>45</v>
      </c>
      <c r="D79" s="66">
        <f>SUM(D78)</f>
        <v>10000000</v>
      </c>
      <c r="E79" s="66">
        <f>SUM(E78)</f>
        <v>10000000</v>
      </c>
      <c r="F79" s="720">
        <f t="shared" ref="F79:G79" si="33">SUM(F77:F78)</f>
        <v>0</v>
      </c>
      <c r="G79" s="66">
        <f t="shared" si="33"/>
        <v>0</v>
      </c>
      <c r="H79" s="122">
        <f>SUM(H78)</f>
        <v>9000000</v>
      </c>
      <c r="I79" s="735">
        <f>H79/E79*100</f>
        <v>90</v>
      </c>
      <c r="J79" s="122">
        <f t="shared" ref="J79" si="34">SUM(J78)</f>
        <v>9000000</v>
      </c>
      <c r="K79" s="302">
        <f>I79</f>
        <v>90</v>
      </c>
      <c r="L79" s="333">
        <f>SUM(L78)</f>
        <v>0.91666666666666663</v>
      </c>
      <c r="M79" s="302">
        <f t="shared" ref="M79" si="35">SUM(M78)</f>
        <v>90</v>
      </c>
      <c r="N79" s="66"/>
      <c r="Q79" s="712"/>
    </row>
    <row r="80" spans="1:17">
      <c r="A80" s="84">
        <v>22</v>
      </c>
      <c r="B80" s="826" t="s">
        <v>87</v>
      </c>
      <c r="C80" s="827"/>
      <c r="D80" s="57"/>
      <c r="E80" s="57"/>
      <c r="F80" s="719"/>
      <c r="G80" s="131"/>
      <c r="H80" s="119"/>
      <c r="I80" s="152"/>
      <c r="J80" s="119"/>
      <c r="K80" s="152"/>
      <c r="L80" s="152"/>
      <c r="M80" s="152"/>
      <c r="N80" s="131"/>
      <c r="Q80" s="712"/>
    </row>
    <row r="81" spans="1:17" ht="25.5">
      <c r="A81" s="84"/>
      <c r="B81" s="47" t="s">
        <v>26</v>
      </c>
      <c r="C81" s="95" t="s">
        <v>76</v>
      </c>
      <c r="D81" s="60">
        <v>3500000</v>
      </c>
      <c r="E81" s="60">
        <v>3500000</v>
      </c>
      <c r="F81" s="125">
        <v>0</v>
      </c>
      <c r="G81" s="135">
        <v>0</v>
      </c>
      <c r="H81" s="706">
        <f>875000+875000+875000</f>
        <v>2625000</v>
      </c>
      <c r="I81" s="300">
        <f>H81/E81*100</f>
        <v>75</v>
      </c>
      <c r="J81" s="197">
        <f>H81</f>
        <v>2625000</v>
      </c>
      <c r="K81" s="314">
        <f>I81</f>
        <v>75</v>
      </c>
      <c r="L81" s="331">
        <f>11/12</f>
        <v>0.91666666666666663</v>
      </c>
      <c r="M81" s="311">
        <f>K81</f>
        <v>75</v>
      </c>
      <c r="N81" s="132"/>
      <c r="Q81" s="712"/>
    </row>
    <row r="82" spans="1:17">
      <c r="A82" s="63"/>
      <c r="B82" s="83"/>
      <c r="C82" s="65" t="s">
        <v>45</v>
      </c>
      <c r="D82" s="66">
        <f>SUM(D81:D81)</f>
        <v>3500000</v>
      </c>
      <c r="E82" s="66">
        <f>SUM(E81:E81)</f>
        <v>3500000</v>
      </c>
      <c r="F82" s="720">
        <f t="shared" ref="F82:G82" si="36">SUM(F79:F81)</f>
        <v>0</v>
      </c>
      <c r="G82" s="66">
        <f t="shared" si="36"/>
        <v>0</v>
      </c>
      <c r="H82" s="122">
        <f>SUM(H81)</f>
        <v>2625000</v>
      </c>
      <c r="I82" s="735">
        <f>H82/E82*100</f>
        <v>75</v>
      </c>
      <c r="J82" s="122">
        <f>SUM(J81)</f>
        <v>2625000</v>
      </c>
      <c r="K82" s="536">
        <f>I82</f>
        <v>75</v>
      </c>
      <c r="L82" s="333">
        <f>SUM(L81)</f>
        <v>0.91666666666666663</v>
      </c>
      <c r="M82" s="302">
        <f>SUM(M81)</f>
        <v>75</v>
      </c>
      <c r="N82" s="66"/>
      <c r="Q82" s="712"/>
    </row>
    <row r="83" spans="1:17">
      <c r="A83" s="44">
        <v>17</v>
      </c>
      <c r="B83" s="822" t="s">
        <v>56</v>
      </c>
      <c r="C83" s="823"/>
      <c r="D83" s="182"/>
      <c r="E83" s="182"/>
      <c r="F83" s="719"/>
      <c r="G83" s="131"/>
      <c r="H83" s="119"/>
      <c r="I83" s="152"/>
      <c r="J83" s="119"/>
      <c r="K83" s="152"/>
      <c r="L83" s="152"/>
      <c r="M83" s="152"/>
      <c r="N83" s="131"/>
      <c r="Q83" s="712"/>
    </row>
    <row r="84" spans="1:17">
      <c r="A84" s="44"/>
      <c r="B84" s="47">
        <v>19</v>
      </c>
      <c r="C84" s="824" t="s">
        <v>91</v>
      </c>
      <c r="D84" s="729"/>
      <c r="E84" s="729"/>
      <c r="F84" s="721"/>
      <c r="G84" s="132"/>
      <c r="H84" s="119"/>
      <c r="I84" s="59"/>
      <c r="J84" s="119"/>
      <c r="K84" s="59"/>
      <c r="L84" s="59"/>
      <c r="M84" s="59"/>
      <c r="N84" s="132"/>
      <c r="Q84" s="712"/>
    </row>
    <row r="85" spans="1:17">
      <c r="A85" s="44"/>
      <c r="B85" s="163"/>
      <c r="C85" s="825"/>
      <c r="D85" s="80">
        <v>25000000</v>
      </c>
      <c r="E85" s="80">
        <v>25000000</v>
      </c>
      <c r="F85" s="725">
        <v>0</v>
      </c>
      <c r="G85" s="165">
        <v>0</v>
      </c>
      <c r="H85" s="709">
        <v>18750000</v>
      </c>
      <c r="I85" s="300">
        <f>H85/E85*100</f>
        <v>75</v>
      </c>
      <c r="J85" s="197">
        <f>H85</f>
        <v>18750000</v>
      </c>
      <c r="K85" s="314">
        <f>I85</f>
        <v>75</v>
      </c>
      <c r="L85" s="331">
        <f>11/12</f>
        <v>0.91666666666666663</v>
      </c>
      <c r="M85" s="314">
        <f>K85</f>
        <v>75</v>
      </c>
      <c r="N85" s="165"/>
      <c r="Q85" s="712"/>
    </row>
    <row r="86" spans="1:17">
      <c r="A86" s="63"/>
      <c r="B86" s="96"/>
      <c r="C86" s="65" t="s">
        <v>45</v>
      </c>
      <c r="D86" s="66">
        <f>SUM(D85:D85)</f>
        <v>25000000</v>
      </c>
      <c r="E86" s="66">
        <f>SUM(E85:E85)</f>
        <v>25000000</v>
      </c>
      <c r="F86" s="722">
        <f>SUM(F84:F84)</f>
        <v>0</v>
      </c>
      <c r="G86" s="137">
        <f>SUM(G84:G84)</f>
        <v>0</v>
      </c>
      <c r="H86" s="122">
        <f>SUM(H85)</f>
        <v>18750000</v>
      </c>
      <c r="I86" s="735">
        <f>H86/E86*100</f>
        <v>75</v>
      </c>
      <c r="J86" s="122">
        <f>SUM(J85)</f>
        <v>18750000</v>
      </c>
      <c r="K86" s="324">
        <f>I86</f>
        <v>75</v>
      </c>
      <c r="L86" s="333">
        <f>SUM(L85)</f>
        <v>0.91666666666666663</v>
      </c>
      <c r="M86" s="340">
        <f>K86</f>
        <v>75</v>
      </c>
      <c r="N86" s="137"/>
      <c r="Q86" s="712"/>
    </row>
    <row r="87" spans="1:17">
      <c r="A87" s="44">
        <v>19</v>
      </c>
      <c r="B87" s="826" t="s">
        <v>57</v>
      </c>
      <c r="C87" s="827"/>
      <c r="D87" s="57"/>
      <c r="E87" s="57"/>
      <c r="F87" s="719"/>
      <c r="G87" s="131"/>
      <c r="H87" s="119"/>
      <c r="I87" s="152"/>
      <c r="J87" s="119"/>
      <c r="K87" s="152"/>
      <c r="L87" s="152"/>
      <c r="M87" s="152"/>
      <c r="N87" s="131"/>
      <c r="Q87" s="712"/>
    </row>
    <row r="88" spans="1:17">
      <c r="A88" s="44"/>
      <c r="B88" s="47" t="s">
        <v>26</v>
      </c>
      <c r="C88" s="48" t="s">
        <v>58</v>
      </c>
      <c r="D88" s="60">
        <v>15000000</v>
      </c>
      <c r="E88" s="60">
        <v>15000000</v>
      </c>
      <c r="F88" s="721">
        <v>0</v>
      </c>
      <c r="G88" s="132">
        <v>0</v>
      </c>
      <c r="H88" s="197">
        <v>15000000</v>
      </c>
      <c r="I88" s="300">
        <f>H88/E88*100</f>
        <v>100</v>
      </c>
      <c r="J88" s="197">
        <f>H88</f>
        <v>15000000</v>
      </c>
      <c r="K88" s="301">
        <f>I88</f>
        <v>100</v>
      </c>
      <c r="L88" s="331">
        <f>11/12</f>
        <v>0.91666666666666663</v>
      </c>
      <c r="M88" s="311">
        <f>K88</f>
        <v>100</v>
      </c>
      <c r="N88" s="132"/>
      <c r="Q88" s="712"/>
    </row>
    <row r="89" spans="1:17">
      <c r="A89" s="183"/>
      <c r="B89" s="64"/>
      <c r="C89" s="65" t="s">
        <v>45</v>
      </c>
      <c r="D89" s="66">
        <f>SUM(D88)</f>
        <v>15000000</v>
      </c>
      <c r="E89" s="66">
        <f>SUM(E88)</f>
        <v>15000000</v>
      </c>
      <c r="F89" s="722">
        <f>SUM(F86:F86)</f>
        <v>0</v>
      </c>
      <c r="G89" s="66">
        <f>SUM(G86:G86)</f>
        <v>0</v>
      </c>
      <c r="H89" s="122">
        <f>H88</f>
        <v>15000000</v>
      </c>
      <c r="I89" s="735">
        <f>H89/E89*100</f>
        <v>100</v>
      </c>
      <c r="J89" s="122">
        <f>J88</f>
        <v>15000000</v>
      </c>
      <c r="K89" s="324">
        <f>I89</f>
        <v>100</v>
      </c>
      <c r="L89" s="333">
        <f>SUM(L88)</f>
        <v>0.91666666666666663</v>
      </c>
      <c r="M89" s="302">
        <f>SUM(M88)</f>
        <v>100</v>
      </c>
      <c r="N89" s="66"/>
      <c r="Q89" s="712"/>
    </row>
    <row r="90" spans="1:17">
      <c r="A90" s="44">
        <v>32</v>
      </c>
      <c r="B90" s="97" t="s">
        <v>59</v>
      </c>
      <c r="C90" s="98"/>
      <c r="D90" s="57"/>
      <c r="E90" s="57"/>
      <c r="F90" s="719"/>
      <c r="G90" s="131"/>
      <c r="H90" s="119"/>
      <c r="I90" s="152"/>
      <c r="J90" s="119"/>
      <c r="K90" s="152"/>
      <c r="L90" s="152"/>
      <c r="M90" s="152"/>
      <c r="N90" s="131"/>
      <c r="Q90" s="712"/>
    </row>
    <row r="91" spans="1:17">
      <c r="A91" s="44"/>
      <c r="B91" s="47" t="s">
        <v>26</v>
      </c>
      <c r="C91" s="58" t="s">
        <v>60</v>
      </c>
      <c r="D91" s="60">
        <v>15000000</v>
      </c>
      <c r="E91" s="60">
        <v>15000000</v>
      </c>
      <c r="F91" s="721">
        <v>0</v>
      </c>
      <c r="G91" s="132">
        <v>0</v>
      </c>
      <c r="H91" s="706">
        <f>750000+225000+ 1500000+750000+7500000+3525000</f>
        <v>14250000</v>
      </c>
      <c r="I91" s="300">
        <f>H91/E91*100</f>
        <v>95</v>
      </c>
      <c r="J91" s="192">
        <f>H91</f>
        <v>14250000</v>
      </c>
      <c r="K91" s="301">
        <f>I91</f>
        <v>95</v>
      </c>
      <c r="L91" s="331">
        <f>11/12</f>
        <v>0.91666666666666663</v>
      </c>
      <c r="M91" s="311">
        <f>K91</f>
        <v>95</v>
      </c>
      <c r="N91" s="132"/>
      <c r="Q91" s="712"/>
    </row>
    <row r="92" spans="1:17">
      <c r="A92" s="63"/>
      <c r="B92" s="64"/>
      <c r="C92" s="65" t="s">
        <v>45</v>
      </c>
      <c r="D92" s="66">
        <f>SUM(D91)</f>
        <v>15000000</v>
      </c>
      <c r="E92" s="66">
        <f>SUM(E91)</f>
        <v>15000000</v>
      </c>
      <c r="F92" s="722">
        <f>SUM(F91:F91)</f>
        <v>0</v>
      </c>
      <c r="G92" s="66">
        <f>SUM(G91:G91)</f>
        <v>0</v>
      </c>
      <c r="H92" s="122">
        <f>H91</f>
        <v>14250000</v>
      </c>
      <c r="I92" s="735">
        <f>H92/E92*100</f>
        <v>95</v>
      </c>
      <c r="J92" s="122">
        <f>J91</f>
        <v>14250000</v>
      </c>
      <c r="K92" s="302">
        <f>I92</f>
        <v>95</v>
      </c>
      <c r="L92" s="333">
        <f>SUM(L91:L91)</f>
        <v>0.91666666666666663</v>
      </c>
      <c r="M92" s="302">
        <f>SUM(M91:M91)</f>
        <v>95</v>
      </c>
      <c r="N92" s="66"/>
      <c r="Q92" s="712"/>
    </row>
    <row r="93" spans="1:17">
      <c r="A93" s="99">
        <v>15</v>
      </c>
      <c r="B93" s="100" t="s">
        <v>77</v>
      </c>
      <c r="C93" s="702"/>
      <c r="D93" s="70"/>
      <c r="E93" s="70"/>
      <c r="F93" s="723"/>
      <c r="G93" s="134"/>
      <c r="H93" s="123"/>
      <c r="I93" s="156"/>
      <c r="J93" s="123"/>
      <c r="K93" s="144"/>
      <c r="L93" s="156"/>
      <c r="M93" s="156"/>
      <c r="N93" s="134"/>
      <c r="Q93" s="712"/>
    </row>
    <row r="94" spans="1:17">
      <c r="A94" s="84"/>
      <c r="B94" s="101" t="s">
        <v>78</v>
      </c>
      <c r="C94" s="48"/>
      <c r="D94" s="102"/>
      <c r="E94" s="102"/>
      <c r="F94" s="719"/>
      <c r="G94" s="131"/>
      <c r="H94" s="119"/>
      <c r="I94" s="152"/>
      <c r="J94" s="119"/>
      <c r="K94" s="59"/>
      <c r="L94" s="152"/>
      <c r="M94" s="152"/>
      <c r="N94" s="131"/>
      <c r="Q94" s="712"/>
    </row>
    <row r="95" spans="1:17">
      <c r="A95" s="44"/>
      <c r="B95" s="47" t="s">
        <v>26</v>
      </c>
      <c r="C95" s="48" t="s">
        <v>79</v>
      </c>
      <c r="D95" s="60">
        <v>5000000</v>
      </c>
      <c r="E95" s="60">
        <v>5000000</v>
      </c>
      <c r="F95" s="721">
        <v>0</v>
      </c>
      <c r="G95" s="132">
        <v>0</v>
      </c>
      <c r="H95" s="199">
        <v>5000000</v>
      </c>
      <c r="I95" s="299">
        <f>H95/E95*100</f>
        <v>100</v>
      </c>
      <c r="J95" s="199">
        <f>H95</f>
        <v>5000000</v>
      </c>
      <c r="K95" s="301">
        <f>I95</f>
        <v>100</v>
      </c>
      <c r="L95" s="331">
        <f>11/12</f>
        <v>0.91666666666666663</v>
      </c>
      <c r="M95" s="301">
        <f>K95</f>
        <v>100</v>
      </c>
      <c r="N95" s="132"/>
      <c r="Q95" s="712"/>
    </row>
    <row r="96" spans="1:17">
      <c r="A96" s="89"/>
      <c r="B96" s="61" t="s">
        <v>80</v>
      </c>
      <c r="C96" s="103" t="s">
        <v>104</v>
      </c>
      <c r="D96" s="91">
        <v>15000000</v>
      </c>
      <c r="E96" s="91">
        <v>15000000</v>
      </c>
      <c r="F96" s="127">
        <v>0</v>
      </c>
      <c r="G96" s="138">
        <v>0</v>
      </c>
      <c r="H96" s="197">
        <v>15000000</v>
      </c>
      <c r="I96" s="300">
        <f>H96/E96*100</f>
        <v>100</v>
      </c>
      <c r="J96" s="197">
        <f>H96</f>
        <v>15000000</v>
      </c>
      <c r="K96" s="301">
        <f>I96</f>
        <v>100</v>
      </c>
      <c r="L96" s="331">
        <f>11/12</f>
        <v>0.91666666666666663</v>
      </c>
      <c r="M96" s="301">
        <f>K96</f>
        <v>100</v>
      </c>
      <c r="N96" s="136"/>
      <c r="Q96" s="712"/>
    </row>
    <row r="97" spans="1:17">
      <c r="A97" s="93"/>
      <c r="B97" s="83"/>
      <c r="C97" s="65" t="s">
        <v>45</v>
      </c>
      <c r="D97" s="66">
        <f>SUM(D95:D96)</f>
        <v>20000000</v>
      </c>
      <c r="E97" s="66">
        <f>SUM(E95:E96)</f>
        <v>20000000</v>
      </c>
      <c r="F97" s="720">
        <f>SUM(F95:F96)</f>
        <v>0</v>
      </c>
      <c r="G97" s="66">
        <f t="shared" ref="G97" si="37">SUM(G95:G96)</f>
        <v>0</v>
      </c>
      <c r="H97" s="122">
        <f>SUM(H95:H96)</f>
        <v>20000000</v>
      </c>
      <c r="I97" s="735">
        <f>H97/E97*100</f>
        <v>100</v>
      </c>
      <c r="J97" s="537">
        <f>SUM(J95:J96)</f>
        <v>20000000</v>
      </c>
      <c r="K97" s="302">
        <f>I97</f>
        <v>100</v>
      </c>
      <c r="L97" s="356">
        <f>L96</f>
        <v>0.91666666666666663</v>
      </c>
      <c r="M97" s="302">
        <f>M96</f>
        <v>100</v>
      </c>
      <c r="N97" s="66"/>
      <c r="Q97" s="712"/>
    </row>
    <row r="98" spans="1:17">
      <c r="A98" s="84">
        <v>18</v>
      </c>
      <c r="B98" s="75" t="s">
        <v>82</v>
      </c>
      <c r="C98" s="76"/>
      <c r="D98" s="57"/>
      <c r="E98" s="57"/>
      <c r="F98" s="719"/>
      <c r="G98" s="131"/>
      <c r="H98" s="119"/>
      <c r="I98" s="152"/>
      <c r="J98" s="119"/>
      <c r="K98" s="152"/>
      <c r="L98" s="152"/>
      <c r="M98" s="152"/>
      <c r="N98" s="131"/>
      <c r="Q98" s="712"/>
    </row>
    <row r="99" spans="1:17" ht="26.25">
      <c r="A99" s="84"/>
      <c r="B99" s="94" t="s">
        <v>29</v>
      </c>
      <c r="C99" s="48" t="s">
        <v>92</v>
      </c>
      <c r="D99" s="60">
        <v>7500000</v>
      </c>
      <c r="E99" s="60">
        <v>7500000</v>
      </c>
      <c r="F99" s="721">
        <v>0</v>
      </c>
      <c r="G99" s="132">
        <v>0</v>
      </c>
      <c r="H99" s="199">
        <v>7500000</v>
      </c>
      <c r="I99" s="299">
        <f>H99/E99*100</f>
        <v>100</v>
      </c>
      <c r="J99" s="192">
        <f>H99</f>
        <v>7500000</v>
      </c>
      <c r="K99" s="301">
        <f>I99</f>
        <v>100</v>
      </c>
      <c r="L99" s="331">
        <f>11/12</f>
        <v>0.91666666666666663</v>
      </c>
      <c r="M99" s="311">
        <f>K99</f>
        <v>100</v>
      </c>
      <c r="N99" s="131"/>
      <c r="Q99" s="712"/>
    </row>
    <row r="100" spans="1:17" ht="26.25">
      <c r="A100" s="84"/>
      <c r="B100" s="94" t="s">
        <v>83</v>
      </c>
      <c r="C100" s="48" t="s">
        <v>93</v>
      </c>
      <c r="D100" s="62">
        <v>10000000</v>
      </c>
      <c r="E100" s="62">
        <v>10000000</v>
      </c>
      <c r="F100" s="726">
        <v>0</v>
      </c>
      <c r="G100" s="133">
        <v>0</v>
      </c>
      <c r="H100" s="200">
        <v>10000000</v>
      </c>
      <c r="I100" s="300">
        <f>H100/E100*100</f>
        <v>100</v>
      </c>
      <c r="J100" s="200">
        <f>H100</f>
        <v>10000000</v>
      </c>
      <c r="K100" s="301">
        <f>I100</f>
        <v>100</v>
      </c>
      <c r="L100" s="331">
        <f>11/12</f>
        <v>0.91666666666666663</v>
      </c>
      <c r="M100" s="311">
        <f>K100</f>
        <v>100</v>
      </c>
      <c r="N100" s="131"/>
      <c r="Q100" s="712"/>
    </row>
    <row r="101" spans="1:17">
      <c r="A101" s="93"/>
      <c r="B101" s="64"/>
      <c r="C101" s="65" t="s">
        <v>45</v>
      </c>
      <c r="D101" s="66">
        <f>SUM(D99:D100)</f>
        <v>17500000</v>
      </c>
      <c r="E101" s="66">
        <f>SUM(E99:E100)</f>
        <v>17500000</v>
      </c>
      <c r="F101" s="720">
        <f t="shared" ref="F101:G101" si="38">SUM(F99:F100)</f>
        <v>0</v>
      </c>
      <c r="G101" s="66">
        <f t="shared" si="38"/>
        <v>0</v>
      </c>
      <c r="H101" s="122">
        <f>SUM(H99:H100)</f>
        <v>17500000</v>
      </c>
      <c r="I101" s="735">
        <f>H101/E101*100</f>
        <v>100</v>
      </c>
      <c r="J101" s="122">
        <f t="shared" ref="J101" si="39">SUM(J99:J100)</f>
        <v>17500000</v>
      </c>
      <c r="K101" s="302">
        <f>I101</f>
        <v>100</v>
      </c>
      <c r="L101" s="356">
        <f>L100</f>
        <v>0.91666666666666663</v>
      </c>
      <c r="M101" s="302">
        <f>SUM(M100:M100)</f>
        <v>100</v>
      </c>
      <c r="N101" s="66"/>
      <c r="Q101" s="712"/>
    </row>
    <row r="102" spans="1:17">
      <c r="A102" s="99">
        <v>26</v>
      </c>
      <c r="B102" s="104" t="s">
        <v>105</v>
      </c>
      <c r="C102" s="105"/>
      <c r="D102" s="57"/>
      <c r="E102" s="57"/>
      <c r="F102" s="719"/>
      <c r="G102" s="131"/>
      <c r="H102" s="119"/>
      <c r="I102" s="152"/>
      <c r="J102" s="119"/>
      <c r="K102" s="152"/>
      <c r="L102" s="152"/>
      <c r="M102" s="152"/>
      <c r="N102" s="131"/>
      <c r="Q102" s="712"/>
    </row>
    <row r="103" spans="1:17">
      <c r="A103" s="44"/>
      <c r="B103" s="47" t="s">
        <v>84</v>
      </c>
      <c r="C103" s="48" t="s">
        <v>106</v>
      </c>
      <c r="D103" s="60">
        <v>5000000</v>
      </c>
      <c r="E103" s="60">
        <v>5000000</v>
      </c>
      <c r="F103" s="721" t="s">
        <v>132</v>
      </c>
      <c r="G103" s="132">
        <v>0</v>
      </c>
      <c r="H103" s="120">
        <v>5000000</v>
      </c>
      <c r="I103" s="300">
        <f>H103/E103*100</f>
        <v>100</v>
      </c>
      <c r="J103" s="192">
        <f>H103</f>
        <v>5000000</v>
      </c>
      <c r="K103" s="301">
        <f>I103</f>
        <v>100</v>
      </c>
      <c r="L103" s="157">
        <v>0</v>
      </c>
      <c r="M103" s="59">
        <v>0</v>
      </c>
      <c r="N103" s="132"/>
      <c r="Q103" s="712"/>
    </row>
    <row r="104" spans="1:17">
      <c r="A104" s="63"/>
      <c r="B104" s="64"/>
      <c r="C104" s="65" t="s">
        <v>45</v>
      </c>
      <c r="D104" s="66">
        <f>SUM(D103)</f>
        <v>5000000</v>
      </c>
      <c r="E104" s="66">
        <f>SUM(E103)</f>
        <v>5000000</v>
      </c>
      <c r="F104" s="720">
        <v>0</v>
      </c>
      <c r="G104" s="66">
        <f t="shared" ref="G104" si="40">SUM(G101:G103)</f>
        <v>0</v>
      </c>
      <c r="H104" s="122">
        <f>SUM(H103)</f>
        <v>5000000</v>
      </c>
      <c r="I104" s="735">
        <f t="shared" ref="I104" si="41">H104/E104*100</f>
        <v>100</v>
      </c>
      <c r="J104" s="122">
        <f>SUM(J103)</f>
        <v>5000000</v>
      </c>
      <c r="K104" s="302">
        <f>I104</f>
        <v>100</v>
      </c>
      <c r="L104" s="66">
        <f>SUM(L103)</f>
        <v>0</v>
      </c>
      <c r="M104" s="66">
        <v>0</v>
      </c>
      <c r="N104" s="66"/>
      <c r="Q104" s="712"/>
    </row>
    <row r="105" spans="1:17">
      <c r="A105" s="99">
        <v>16</v>
      </c>
      <c r="B105" s="104" t="s">
        <v>123</v>
      </c>
      <c r="C105" s="105"/>
      <c r="D105" s="57"/>
      <c r="E105" s="57"/>
      <c r="F105" s="719"/>
      <c r="G105" s="131"/>
      <c r="H105" s="119"/>
      <c r="I105" s="152"/>
      <c r="J105" s="119"/>
      <c r="K105" s="152"/>
      <c r="L105" s="152"/>
      <c r="M105" s="152"/>
      <c r="N105" s="131"/>
      <c r="Q105" s="712"/>
    </row>
    <row r="106" spans="1:17">
      <c r="A106" s="84"/>
      <c r="B106" s="185" t="s">
        <v>124</v>
      </c>
      <c r="C106" s="186"/>
      <c r="D106" s="182"/>
      <c r="E106" s="182"/>
      <c r="F106" s="124"/>
      <c r="G106" s="131"/>
      <c r="H106" s="131"/>
      <c r="I106" s="152"/>
      <c r="J106" s="131"/>
      <c r="K106" s="152"/>
      <c r="L106" s="152"/>
      <c r="M106" s="152"/>
      <c r="N106" s="152"/>
      <c r="Q106" s="712"/>
    </row>
    <row r="107" spans="1:17" ht="26.25">
      <c r="A107" s="44"/>
      <c r="B107" s="282" t="s">
        <v>46</v>
      </c>
      <c r="C107" s="50" t="s">
        <v>217</v>
      </c>
      <c r="D107" s="60">
        <v>27000000</v>
      </c>
      <c r="E107" s="60">
        <v>-27000000</v>
      </c>
      <c r="F107" s="125">
        <v>0</v>
      </c>
      <c r="G107" s="135">
        <v>0</v>
      </c>
      <c r="H107" s="124">
        <v>0</v>
      </c>
      <c r="I107" s="59" t="s">
        <v>132</v>
      </c>
      <c r="J107" s="124">
        <v>0</v>
      </c>
      <c r="K107" s="59" t="s">
        <v>132</v>
      </c>
      <c r="L107" s="59">
        <v>0</v>
      </c>
      <c r="M107" s="59">
        <v>0</v>
      </c>
      <c r="N107" s="59"/>
      <c r="Q107" s="712"/>
    </row>
    <row r="108" spans="1:17">
      <c r="A108" s="44"/>
      <c r="B108" s="163" t="s">
        <v>111</v>
      </c>
      <c r="C108" s="204" t="s">
        <v>81</v>
      </c>
      <c r="D108" s="205">
        <v>3000000</v>
      </c>
      <c r="E108" s="205">
        <v>3000000</v>
      </c>
      <c r="F108" s="125">
        <v>0</v>
      </c>
      <c r="G108" s="135">
        <v>0</v>
      </c>
      <c r="H108" s="707">
        <v>3000000</v>
      </c>
      <c r="I108" s="300">
        <f t="shared" ref="I108:I109" si="42">H108/E108*100</f>
        <v>100</v>
      </c>
      <c r="J108" s="201">
        <f>H108</f>
        <v>3000000</v>
      </c>
      <c r="K108" s="301">
        <f>I108</f>
        <v>100</v>
      </c>
      <c r="L108" s="212">
        <v>0</v>
      </c>
      <c r="M108" s="187"/>
      <c r="N108" s="188"/>
      <c r="Q108" s="712"/>
    </row>
    <row r="109" spans="1:17">
      <c r="A109" s="63"/>
      <c r="B109" s="64"/>
      <c r="C109" s="65" t="s">
        <v>45</v>
      </c>
      <c r="D109" s="66">
        <f>SUM(D107:D108)</f>
        <v>30000000</v>
      </c>
      <c r="E109" s="66">
        <f>E108</f>
        <v>3000000</v>
      </c>
      <c r="F109" s="720">
        <f>SUM(F107:F108)</f>
        <v>0</v>
      </c>
      <c r="G109" s="66">
        <f>SUM(G107:G108)</f>
        <v>0</v>
      </c>
      <c r="H109" s="122">
        <f>SUM(H108)</f>
        <v>3000000</v>
      </c>
      <c r="I109" s="735">
        <f t="shared" si="42"/>
        <v>100</v>
      </c>
      <c r="J109" s="122">
        <f>SUM(J107:J108)</f>
        <v>3000000</v>
      </c>
      <c r="K109" s="302">
        <f>I109</f>
        <v>100</v>
      </c>
      <c r="L109" s="66">
        <f>SUM(L107:L108)</f>
        <v>0</v>
      </c>
      <c r="M109" s="66">
        <f>SUM(M107:M108)</f>
        <v>0</v>
      </c>
      <c r="N109" s="66"/>
      <c r="Q109" s="712"/>
    </row>
    <row r="110" spans="1:17">
      <c r="A110" s="99">
        <v>17</v>
      </c>
      <c r="B110" s="104" t="s">
        <v>127</v>
      </c>
      <c r="C110" s="105"/>
      <c r="D110" s="57"/>
      <c r="E110" s="57"/>
      <c r="F110" s="719"/>
      <c r="G110" s="131"/>
      <c r="H110" s="119"/>
      <c r="I110" s="152"/>
      <c r="J110" s="119"/>
      <c r="K110" s="152"/>
      <c r="L110" s="152"/>
      <c r="M110" s="152"/>
      <c r="N110" s="131"/>
      <c r="Q110" s="712"/>
    </row>
    <row r="111" spans="1:17" ht="26.25">
      <c r="A111" s="44"/>
      <c r="B111" s="47" t="s">
        <v>84</v>
      </c>
      <c r="C111" s="48" t="s">
        <v>128</v>
      </c>
      <c r="D111" s="60">
        <v>10000000</v>
      </c>
      <c r="E111" s="60">
        <v>-10000000</v>
      </c>
      <c r="F111" s="721">
        <v>0</v>
      </c>
      <c r="G111" s="132">
        <v>0</v>
      </c>
      <c r="H111" s="120" t="s">
        <v>132</v>
      </c>
      <c r="I111" s="59" t="s">
        <v>132</v>
      </c>
      <c r="J111" s="120">
        <v>0</v>
      </c>
      <c r="K111" s="59" t="s">
        <v>132</v>
      </c>
      <c r="L111" s="157">
        <v>0</v>
      </c>
      <c r="M111" s="59">
        <v>0</v>
      </c>
      <c r="N111" s="132"/>
      <c r="Q111" s="712"/>
    </row>
    <row r="112" spans="1:17">
      <c r="A112" s="63"/>
      <c r="B112" s="64"/>
      <c r="C112" s="65" t="s">
        <v>45</v>
      </c>
      <c r="D112" s="66">
        <f>SUM(D111)</f>
        <v>10000000</v>
      </c>
      <c r="E112" s="66">
        <v>0</v>
      </c>
      <c r="F112" s="720">
        <f t="shared" ref="F112:G112" si="43">SUM(F109:F111)</f>
        <v>0</v>
      </c>
      <c r="G112" s="66">
        <f t="shared" si="43"/>
        <v>0</v>
      </c>
      <c r="H112" s="122" t="s">
        <v>132</v>
      </c>
      <c r="I112" s="66" t="s">
        <v>132</v>
      </c>
      <c r="J112" s="122" t="s">
        <v>132</v>
      </c>
      <c r="K112" s="66" t="s">
        <v>132</v>
      </c>
      <c r="L112" s="66">
        <f>SUM(L111)</f>
        <v>0</v>
      </c>
      <c r="M112" s="66">
        <v>0</v>
      </c>
      <c r="N112" s="66"/>
      <c r="Q112" s="712"/>
    </row>
    <row r="113" spans="1:17">
      <c r="A113" s="44">
        <v>18</v>
      </c>
      <c r="B113" s="104" t="s">
        <v>218</v>
      </c>
      <c r="C113" s="105"/>
      <c r="D113" s="70"/>
      <c r="E113" s="70"/>
      <c r="F113" s="727"/>
      <c r="G113" s="70"/>
      <c r="H113" s="287"/>
      <c r="I113" s="70"/>
      <c r="J113" s="287"/>
      <c r="K113" s="70"/>
      <c r="L113" s="70"/>
      <c r="M113" s="70"/>
      <c r="N113" s="70"/>
      <c r="Q113" s="712"/>
    </row>
    <row r="114" spans="1:17" ht="25.5">
      <c r="A114" s="44"/>
      <c r="B114" s="283" t="s">
        <v>83</v>
      </c>
      <c r="C114" s="284" t="s">
        <v>219</v>
      </c>
      <c r="D114" s="288">
        <v>50000000</v>
      </c>
      <c r="E114" s="288">
        <v>16200000</v>
      </c>
      <c r="F114" s="728">
        <v>0</v>
      </c>
      <c r="G114" s="285">
        <v>0</v>
      </c>
      <c r="H114" s="286">
        <v>16200000</v>
      </c>
      <c r="I114" s="300">
        <f t="shared" ref="I114:I115" si="44">H114/E114*100</f>
        <v>100</v>
      </c>
      <c r="J114" s="286">
        <f>H114</f>
        <v>16200000</v>
      </c>
      <c r="K114" s="301">
        <f>I114</f>
        <v>100</v>
      </c>
      <c r="L114" s="157">
        <v>0</v>
      </c>
      <c r="M114" s="285">
        <v>0</v>
      </c>
      <c r="N114" s="285"/>
      <c r="Q114" s="712"/>
    </row>
    <row r="115" spans="1:17">
      <c r="A115" s="63"/>
      <c r="B115" s="64"/>
      <c r="C115" s="65" t="s">
        <v>45</v>
      </c>
      <c r="D115" s="66">
        <f>SUM(D114)</f>
        <v>50000000</v>
      </c>
      <c r="E115" s="66">
        <f>SUM(E114)</f>
        <v>16200000</v>
      </c>
      <c r="F115" s="720">
        <v>0</v>
      </c>
      <c r="G115" s="66">
        <v>0</v>
      </c>
      <c r="H115" s="122">
        <f>SUM(H114)</f>
        <v>16200000</v>
      </c>
      <c r="I115" s="735">
        <f t="shared" si="44"/>
        <v>100</v>
      </c>
      <c r="J115" s="122">
        <f>SUM(J114)</f>
        <v>16200000</v>
      </c>
      <c r="K115" s="302">
        <f>I115</f>
        <v>100</v>
      </c>
      <c r="L115" s="66">
        <f>SUM(L114)</f>
        <v>0</v>
      </c>
      <c r="M115" s="66">
        <v>0</v>
      </c>
      <c r="N115" s="66"/>
      <c r="Q115" s="712"/>
    </row>
    <row r="116" spans="1:17">
      <c r="A116" s="44">
        <v>24</v>
      </c>
      <c r="B116" s="104" t="s">
        <v>221</v>
      </c>
      <c r="C116" s="105"/>
      <c r="D116" s="70"/>
      <c r="E116" s="70"/>
      <c r="F116" s="727"/>
      <c r="G116" s="70"/>
      <c r="H116" s="287"/>
      <c r="I116" s="70"/>
      <c r="J116" s="287"/>
      <c r="K116" s="70"/>
      <c r="L116" s="70"/>
      <c r="M116" s="70"/>
      <c r="N116" s="70"/>
      <c r="Q116" s="712"/>
    </row>
    <row r="117" spans="1:17">
      <c r="A117" s="44"/>
      <c r="B117" s="283" t="s">
        <v>83</v>
      </c>
      <c r="C117" s="284" t="s">
        <v>222</v>
      </c>
      <c r="D117" s="288">
        <v>50000000</v>
      </c>
      <c r="E117" s="288">
        <v>51500000</v>
      </c>
      <c r="F117" s="728">
        <v>0</v>
      </c>
      <c r="G117" s="285">
        <v>0</v>
      </c>
      <c r="H117" s="286">
        <v>0</v>
      </c>
      <c r="I117" s="285">
        <v>0</v>
      </c>
      <c r="J117" s="286">
        <v>0</v>
      </c>
      <c r="K117" s="285">
        <v>0</v>
      </c>
      <c r="L117" s="157">
        <v>0</v>
      </c>
      <c r="M117" s="285">
        <v>0</v>
      </c>
      <c r="N117" s="285"/>
      <c r="Q117" s="712"/>
    </row>
    <row r="118" spans="1:17">
      <c r="A118" s="63"/>
      <c r="B118" s="64"/>
      <c r="C118" s="65" t="s">
        <v>45</v>
      </c>
      <c r="D118" s="66">
        <f>SUM(D117)</f>
        <v>50000000</v>
      </c>
      <c r="E118" s="66">
        <f>SUM(E117)</f>
        <v>51500000</v>
      </c>
      <c r="F118" s="66">
        <v>0</v>
      </c>
      <c r="G118" s="66">
        <v>0</v>
      </c>
      <c r="H118" s="122">
        <v>0</v>
      </c>
      <c r="I118" s="66">
        <v>0</v>
      </c>
      <c r="J118" s="122">
        <v>0</v>
      </c>
      <c r="K118" s="66">
        <v>0</v>
      </c>
      <c r="L118" s="66">
        <f>SUM(L117)</f>
        <v>0</v>
      </c>
      <c r="M118" s="66">
        <v>0</v>
      </c>
      <c r="N118" s="66"/>
      <c r="Q118" s="712"/>
    </row>
    <row r="119" spans="1:17" ht="15.75" thickBot="1">
      <c r="A119" s="166"/>
      <c r="B119" s="167" t="s">
        <v>85</v>
      </c>
      <c r="C119" s="106"/>
      <c r="D119" s="107">
        <f>D13+D10</f>
        <v>3251325000</v>
      </c>
      <c r="E119" s="107">
        <f>E13+E10</f>
        <v>3077095040</v>
      </c>
      <c r="F119" s="107">
        <f>F13+F10</f>
        <v>0</v>
      </c>
      <c r="G119" s="107">
        <f>G13+G10</f>
        <v>0</v>
      </c>
      <c r="H119" s="107">
        <f>H10+H13</f>
        <v>2361224490</v>
      </c>
      <c r="I119" s="736">
        <f t="shared" ref="I119" si="45">H119/E119*100</f>
        <v>76.735507330966286</v>
      </c>
      <c r="J119" s="107">
        <f>J13+J10</f>
        <v>2361224490</v>
      </c>
      <c r="K119" s="213">
        <f>J119/E119*100</f>
        <v>76.735507330966286</v>
      </c>
      <c r="L119" s="674">
        <f>11/12</f>
        <v>0.91666666666666663</v>
      </c>
      <c r="M119" s="213">
        <f>K119</f>
        <v>76.735507330966286</v>
      </c>
      <c r="N119" s="158"/>
      <c r="Q119" s="712"/>
    </row>
    <row r="120" spans="1:17" ht="15.75" thickTop="1">
      <c r="A120" s="342"/>
      <c r="B120" s="343"/>
      <c r="C120" s="344"/>
      <c r="D120" s="345"/>
      <c r="E120" s="345"/>
      <c r="F120" s="345"/>
      <c r="G120" s="345"/>
      <c r="H120" s="711"/>
      <c r="I120" s="529"/>
      <c r="J120" s="345"/>
      <c r="K120" s="346"/>
      <c r="L120" s="347"/>
      <c r="M120" s="346"/>
      <c r="N120" s="348"/>
    </row>
    <row r="121" spans="1:17">
      <c r="A121" s="168"/>
      <c r="B121" s="169"/>
      <c r="C121" s="170"/>
      <c r="D121" s="171"/>
      <c r="E121" s="171"/>
      <c r="F121" s="108"/>
      <c r="H121" s="710"/>
      <c r="I121" s="128"/>
      <c r="J121" s="159" t="s">
        <v>549</v>
      </c>
      <c r="K121" s="128"/>
      <c r="M121" s="128"/>
      <c r="N121" s="128"/>
    </row>
    <row r="122" spans="1:17">
      <c r="A122" s="172"/>
      <c r="B122" s="169"/>
      <c r="C122" s="173"/>
      <c r="D122" s="171"/>
      <c r="E122" s="171"/>
      <c r="F122" s="174"/>
      <c r="I122" s="128"/>
      <c r="J122" s="159" t="s">
        <v>86</v>
      </c>
      <c r="K122" s="128"/>
      <c r="M122" s="128"/>
      <c r="N122" s="128"/>
    </row>
    <row r="123" spans="1:17">
      <c r="A123" s="172"/>
      <c r="B123" s="169"/>
      <c r="C123" s="173"/>
      <c r="D123" s="171"/>
      <c r="E123" s="171"/>
      <c r="F123" s="174"/>
      <c r="I123" s="128"/>
      <c r="J123" s="159"/>
      <c r="K123" s="128"/>
      <c r="M123" s="128"/>
      <c r="N123" s="128"/>
    </row>
    <row r="124" spans="1:17">
      <c r="A124" s="172"/>
      <c r="B124" s="169"/>
      <c r="C124" s="173"/>
      <c r="D124" s="171"/>
      <c r="E124" s="171"/>
      <c r="F124" s="108"/>
      <c r="I124" s="128"/>
      <c r="J124" s="159"/>
      <c r="K124" s="128"/>
      <c r="M124" s="128"/>
      <c r="N124" s="128"/>
    </row>
    <row r="125" spans="1:17">
      <c r="A125" s="175"/>
      <c r="B125" s="176"/>
      <c r="C125" s="177"/>
      <c r="D125" s="171"/>
      <c r="E125" s="171"/>
      <c r="F125" s="108"/>
      <c r="H125" s="128" t="s">
        <v>227</v>
      </c>
      <c r="I125" s="128"/>
      <c r="J125" s="160" t="s">
        <v>120</v>
      </c>
      <c r="K125" s="128"/>
      <c r="M125" s="128"/>
      <c r="N125" s="128"/>
    </row>
    <row r="126" spans="1:17">
      <c r="A126" s="175"/>
      <c r="B126" s="176"/>
      <c r="C126" s="177"/>
      <c r="D126" s="175"/>
      <c r="E126" s="175"/>
      <c r="F126" s="108"/>
      <c r="I126" s="128"/>
      <c r="J126" s="159" t="s">
        <v>491</v>
      </c>
      <c r="K126" s="128"/>
      <c r="M126" s="128"/>
      <c r="N126" s="128"/>
    </row>
    <row r="127" spans="1:17">
      <c r="A127" s="175"/>
      <c r="B127" s="176"/>
      <c r="C127" s="177"/>
      <c r="D127" s="175"/>
      <c r="E127" s="175"/>
      <c r="F127" s="108"/>
      <c r="I127" s="128"/>
      <c r="J127" s="159" t="s">
        <v>121</v>
      </c>
      <c r="K127" s="128"/>
      <c r="M127" s="128"/>
      <c r="N127" s="128"/>
    </row>
    <row r="155" spans="1:14" ht="15.75">
      <c r="A155" s="832" t="s">
        <v>223</v>
      </c>
      <c r="B155" s="832"/>
      <c r="C155" s="832"/>
      <c r="D155" s="832"/>
      <c r="E155" s="832"/>
      <c r="F155" s="832"/>
      <c r="G155" s="832"/>
      <c r="H155" s="832"/>
      <c r="I155" s="832"/>
      <c r="J155" s="832"/>
      <c r="K155" s="832"/>
      <c r="L155" s="832"/>
      <c r="M155" s="832"/>
      <c r="N155" s="832"/>
    </row>
    <row r="156" spans="1:14" ht="15.75">
      <c r="A156" s="832" t="s">
        <v>224</v>
      </c>
      <c r="B156" s="832"/>
      <c r="C156" s="832"/>
      <c r="D156" s="832"/>
      <c r="E156" s="832"/>
      <c r="F156" s="832"/>
      <c r="G156" s="832"/>
      <c r="H156" s="832"/>
      <c r="I156" s="832"/>
      <c r="J156" s="832"/>
      <c r="K156" s="832"/>
      <c r="L156" s="832"/>
      <c r="M156" s="832"/>
      <c r="N156" s="832"/>
    </row>
    <row r="157" spans="1:14" ht="15.75">
      <c r="A157" s="738"/>
      <c r="B157" s="738"/>
      <c r="C157" s="738"/>
      <c r="D157" s="738"/>
      <c r="E157" s="738"/>
      <c r="F157" s="738"/>
      <c r="G157" s="738"/>
      <c r="H157" s="303"/>
      <c r="I157" s="738"/>
      <c r="J157" s="738"/>
      <c r="K157" s="738"/>
      <c r="L157" s="303"/>
      <c r="M157" s="738"/>
      <c r="N157" s="738"/>
    </row>
    <row r="158" spans="1:14" ht="16.5">
      <c r="A158" s="1" t="s">
        <v>213</v>
      </c>
      <c r="B158" s="2"/>
      <c r="C158" s="3" t="s">
        <v>2</v>
      </c>
      <c r="F158" s="108"/>
      <c r="H158" s="669"/>
      <c r="I158" s="4"/>
      <c r="J158" s="5"/>
      <c r="K158" s="4"/>
      <c r="N158" s="4"/>
    </row>
    <row r="159" spans="1:14" ht="17.25" thickBot="1">
      <c r="A159" s="14" t="s">
        <v>225</v>
      </c>
      <c r="B159" s="14"/>
      <c r="C159" s="292" t="s">
        <v>550</v>
      </c>
      <c r="D159" s="129"/>
      <c r="E159" s="129"/>
      <c r="F159" s="109"/>
      <c r="G159" s="129"/>
      <c r="H159" s="305"/>
      <c r="I159" s="14"/>
      <c r="J159" s="16"/>
      <c r="K159" s="14"/>
      <c r="L159" s="129"/>
      <c r="M159" s="15"/>
      <c r="N159" s="14"/>
    </row>
    <row r="160" spans="1:14" ht="15.75" thickTop="1">
      <c r="A160" s="833" t="s">
        <v>3</v>
      </c>
      <c r="B160" s="836" t="s">
        <v>4</v>
      </c>
      <c r="C160" s="837"/>
      <c r="D160" s="289" t="s">
        <v>5</v>
      </c>
      <c r="E160" s="289" t="s">
        <v>545</v>
      </c>
      <c r="F160" s="110" t="s">
        <v>6</v>
      </c>
      <c r="G160" s="130"/>
      <c r="H160" s="842" t="s">
        <v>7</v>
      </c>
      <c r="I160" s="843"/>
      <c r="J160" s="843"/>
      <c r="K160" s="843"/>
      <c r="L160" s="844" t="s">
        <v>8</v>
      </c>
      <c r="M160" s="844"/>
      <c r="N160" s="833" t="s">
        <v>9</v>
      </c>
    </row>
    <row r="161" spans="1:14">
      <c r="A161" s="834"/>
      <c r="B161" s="838"/>
      <c r="C161" s="839"/>
      <c r="D161" s="290" t="s">
        <v>10</v>
      </c>
      <c r="E161" s="290" t="s">
        <v>546</v>
      </c>
      <c r="F161" s="111" t="s">
        <v>11</v>
      </c>
      <c r="G161" s="111" t="s">
        <v>12</v>
      </c>
      <c r="H161" s="111" t="s">
        <v>13</v>
      </c>
      <c r="I161" s="845" t="s">
        <v>14</v>
      </c>
      <c r="J161" s="6" t="s">
        <v>15</v>
      </c>
      <c r="K161" s="846" t="s">
        <v>14</v>
      </c>
      <c r="L161" s="321" t="s">
        <v>16</v>
      </c>
      <c r="M161" s="7" t="s">
        <v>17</v>
      </c>
      <c r="N161" s="834"/>
    </row>
    <row r="162" spans="1:14">
      <c r="A162" s="835"/>
      <c r="B162" s="840"/>
      <c r="C162" s="841"/>
      <c r="D162" s="291" t="s">
        <v>18</v>
      </c>
      <c r="E162" s="291" t="s">
        <v>547</v>
      </c>
      <c r="F162" s="112" t="s">
        <v>18</v>
      </c>
      <c r="G162" s="112"/>
      <c r="H162" s="306" t="s">
        <v>19</v>
      </c>
      <c r="I162" s="835"/>
      <c r="J162" s="8" t="s">
        <v>19</v>
      </c>
      <c r="K162" s="847"/>
      <c r="L162" s="322" t="s">
        <v>233</v>
      </c>
      <c r="M162" s="9" t="s">
        <v>233</v>
      </c>
      <c r="N162" s="835"/>
    </row>
    <row r="163" spans="1:14" ht="15.75" thickBot="1">
      <c r="A163" s="17">
        <v>1</v>
      </c>
      <c r="B163" s="828">
        <v>2</v>
      </c>
      <c r="C163" s="829"/>
      <c r="D163" s="17">
        <v>3</v>
      </c>
      <c r="E163" s="17">
        <v>4</v>
      </c>
      <c r="F163" s="17">
        <v>5</v>
      </c>
      <c r="G163" s="17">
        <v>6</v>
      </c>
      <c r="H163" s="17">
        <v>7</v>
      </c>
      <c r="I163" s="17">
        <v>8</v>
      </c>
      <c r="J163" s="17">
        <v>9</v>
      </c>
      <c r="K163" s="17">
        <v>10</v>
      </c>
      <c r="L163" s="17">
        <v>11</v>
      </c>
      <c r="M163" s="17">
        <v>12</v>
      </c>
      <c r="N163" s="17">
        <v>13</v>
      </c>
    </row>
    <row r="164" spans="1:14" ht="15.75" thickBot="1">
      <c r="A164" s="35" t="s">
        <v>20</v>
      </c>
      <c r="B164" s="36" t="s">
        <v>21</v>
      </c>
      <c r="C164" s="37"/>
      <c r="D164" s="30">
        <f>D165+D166</f>
        <v>2257113000</v>
      </c>
      <c r="E164" s="715">
        <f>E165+E166</f>
        <v>2162113000</v>
      </c>
      <c r="F164" s="715">
        <f>F165</f>
        <v>0</v>
      </c>
      <c r="G164" s="30">
        <v>0</v>
      </c>
      <c r="H164" s="715">
        <f>H165+H166</f>
        <v>1605769813</v>
      </c>
      <c r="I164" s="716">
        <f>H164/D164*100</f>
        <v>71.142641640006502</v>
      </c>
      <c r="J164" s="30">
        <f>H164</f>
        <v>1605769813</v>
      </c>
      <c r="K164" s="717">
        <f>J164/D164*100</f>
        <v>71.142641640006502</v>
      </c>
      <c r="L164" s="718">
        <f>12/12</f>
        <v>1</v>
      </c>
      <c r="M164" s="215">
        <f>K164</f>
        <v>71.142641640006502</v>
      </c>
      <c r="N164" s="53"/>
    </row>
    <row r="165" spans="1:14" ht="15.75" thickBot="1">
      <c r="A165" s="38" t="s">
        <v>22</v>
      </c>
      <c r="B165" s="39" t="s">
        <v>23</v>
      </c>
      <c r="C165" s="40"/>
      <c r="D165" s="730">
        <v>1872153000</v>
      </c>
      <c r="E165" s="732">
        <v>1747153000</v>
      </c>
      <c r="F165" s="731">
        <v>0</v>
      </c>
      <c r="G165" s="30">
        <v>0</v>
      </c>
      <c r="H165" s="30">
        <v>1311512995</v>
      </c>
      <c r="I165" s="214">
        <f>H165/D165*100</f>
        <v>70.053729315926631</v>
      </c>
      <c r="J165" s="296">
        <f>H165</f>
        <v>1311512995</v>
      </c>
      <c r="K165" s="217">
        <f>J165/D165*100</f>
        <v>70.053729315926631</v>
      </c>
      <c r="L165" s="332">
        <f>12/12</f>
        <v>1</v>
      </c>
      <c r="M165" s="215">
        <f>K165</f>
        <v>70.053729315926631</v>
      </c>
      <c r="N165" s="146"/>
    </row>
    <row r="166" spans="1:14" ht="15.75" thickBot="1">
      <c r="A166" s="139"/>
      <c r="B166" s="140" t="s">
        <v>107</v>
      </c>
      <c r="C166" s="141"/>
      <c r="D166" s="730">
        <v>384960000</v>
      </c>
      <c r="E166" s="732">
        <v>414960000</v>
      </c>
      <c r="F166" s="731">
        <v>0</v>
      </c>
      <c r="G166" s="30">
        <v>0</v>
      </c>
      <c r="H166" s="351">
        <v>294256818</v>
      </c>
      <c r="I166" s="214">
        <f>H166/D166*100</f>
        <v>76.438283977556111</v>
      </c>
      <c r="J166" s="296">
        <f>H166</f>
        <v>294256818</v>
      </c>
      <c r="K166" s="217">
        <f>J166/D166*100</f>
        <v>76.438283977556111</v>
      </c>
      <c r="L166" s="332">
        <f>12/12</f>
        <v>1</v>
      </c>
      <c r="M166" s="215">
        <f>K166</f>
        <v>76.438283977556111</v>
      </c>
      <c r="N166" s="149"/>
    </row>
    <row r="167" spans="1:14" ht="15.75" thickBot="1">
      <c r="A167" s="35" t="s">
        <v>24</v>
      </c>
      <c r="B167" s="36" t="s">
        <v>25</v>
      </c>
      <c r="C167" s="37"/>
      <c r="D167" s="30">
        <f>D184+D194+D197+D201+D204+D207+D213+D216+D220+D223+D227+D230+D233+D236+D240+D243+D246+D251+D255+D258+D263+D266+D269+D272</f>
        <v>994212000</v>
      </c>
      <c r="E167" s="30">
        <f>E184+E194+E197+E201+E204+E207+E213+E216+E220+E223+E227+E230+E233+E236+E240+E243+E246+E251+E255+E258+E263+E266+E269+E272</f>
        <v>914982040</v>
      </c>
      <c r="F167" s="30">
        <v>0</v>
      </c>
      <c r="G167" s="30">
        <v>0</v>
      </c>
      <c r="H167" s="30">
        <f>H184+H194+H223+H227+H243+H246+H233+H236+H240+H255+H207+H220+H251+H204+H201+H230+H216+H213+H258+H269+H263</f>
        <v>755454677</v>
      </c>
      <c r="I167" s="215">
        <f>H167/D167*100</f>
        <v>75.985270445337619</v>
      </c>
      <c r="J167" s="296">
        <f>H167</f>
        <v>755454677</v>
      </c>
      <c r="K167" s="217">
        <f>J167/D167*100</f>
        <v>75.985270445337619</v>
      </c>
      <c r="L167" s="332">
        <f>12/12</f>
        <v>1</v>
      </c>
      <c r="M167" s="215">
        <f>K167</f>
        <v>75.985270445337619</v>
      </c>
      <c r="N167" s="30"/>
    </row>
    <row r="168" spans="1:14">
      <c r="A168" s="41" t="s">
        <v>26</v>
      </c>
      <c r="B168" s="42" t="s">
        <v>27</v>
      </c>
      <c r="C168" s="43"/>
      <c r="D168" s="32"/>
      <c r="E168" s="32"/>
      <c r="F168" s="115"/>
      <c r="G168" s="32"/>
      <c r="H168" s="150"/>
      <c r="I168" s="151"/>
      <c r="J168" s="191"/>
      <c r="K168" s="150"/>
      <c r="L168" s="32"/>
      <c r="M168" s="32"/>
      <c r="N168" s="32"/>
    </row>
    <row r="169" spans="1:14">
      <c r="A169" s="44"/>
      <c r="B169" s="45" t="s">
        <v>26</v>
      </c>
      <c r="C169" s="46" t="s">
        <v>28</v>
      </c>
      <c r="D169" s="525">
        <v>6000000</v>
      </c>
      <c r="E169" s="525">
        <v>6000000</v>
      </c>
      <c r="F169" s="116">
        <v>0</v>
      </c>
      <c r="G169" s="131">
        <v>0</v>
      </c>
      <c r="H169" s="272">
        <f>999000+501000+250000+250000+250000+250000+249000+750000</f>
        <v>3499000</v>
      </c>
      <c r="I169" s="299">
        <f>H169/E169*100</f>
        <v>58.31666666666667</v>
      </c>
      <c r="J169" s="192">
        <f>H169</f>
        <v>3499000</v>
      </c>
      <c r="K169" s="301">
        <f>I169</f>
        <v>58.31666666666667</v>
      </c>
      <c r="L169" s="331">
        <f>12/12</f>
        <v>1</v>
      </c>
      <c r="M169" s="311">
        <f>K169</f>
        <v>58.31666666666667</v>
      </c>
      <c r="N169" s="131"/>
    </row>
    <row r="170" spans="1:14">
      <c r="A170" s="44"/>
      <c r="B170" s="47" t="s">
        <v>29</v>
      </c>
      <c r="C170" s="48" t="s">
        <v>30</v>
      </c>
      <c r="D170" s="34">
        <v>8000000</v>
      </c>
      <c r="E170" s="34">
        <v>4000000</v>
      </c>
      <c r="F170" s="297">
        <v>0</v>
      </c>
      <c r="G170" s="132">
        <v>0</v>
      </c>
      <c r="H170" s="272">
        <v>2426553</v>
      </c>
      <c r="I170" s="299">
        <f t="shared" ref="I170:I181" si="46">H170/E170*100</f>
        <v>60.663825000000003</v>
      </c>
      <c r="J170" s="192">
        <f>H170</f>
        <v>2426553</v>
      </c>
      <c r="K170" s="301">
        <f>J170/D170*100</f>
        <v>30.331912500000001</v>
      </c>
      <c r="L170" s="331">
        <f t="shared" ref="L170:L182" si="47">12/12</f>
        <v>1</v>
      </c>
      <c r="M170" s="311">
        <f t="shared" ref="M170:M183" si="48">K170</f>
        <v>30.331912500000001</v>
      </c>
      <c r="N170" s="132"/>
    </row>
    <row r="171" spans="1:14">
      <c r="A171" s="44"/>
      <c r="B171" s="47" t="s">
        <v>29</v>
      </c>
      <c r="C171" s="48" t="s">
        <v>31</v>
      </c>
      <c r="D171" s="34">
        <v>5000000</v>
      </c>
      <c r="E171" s="34">
        <v>5000000</v>
      </c>
      <c r="F171" s="297">
        <v>0</v>
      </c>
      <c r="G171" s="132">
        <v>0</v>
      </c>
      <c r="H171" s="272">
        <v>2868400</v>
      </c>
      <c r="I171" s="299">
        <f t="shared" si="46"/>
        <v>57.367999999999995</v>
      </c>
      <c r="J171" s="192">
        <f t="shared" ref="J171:J172" si="49">H171</f>
        <v>2868400</v>
      </c>
      <c r="K171" s="301">
        <f t="shared" ref="K171:K180" si="50">J171/D171*100</f>
        <v>57.367999999999995</v>
      </c>
      <c r="L171" s="331">
        <f t="shared" si="47"/>
        <v>1</v>
      </c>
      <c r="M171" s="311">
        <f t="shared" si="48"/>
        <v>57.367999999999995</v>
      </c>
      <c r="N171" s="132"/>
    </row>
    <row r="172" spans="1:14">
      <c r="A172" s="44"/>
      <c r="B172" s="47" t="s">
        <v>29</v>
      </c>
      <c r="C172" s="48" t="s">
        <v>32</v>
      </c>
      <c r="D172" s="34">
        <v>12000000</v>
      </c>
      <c r="E172" s="34">
        <v>8000000</v>
      </c>
      <c r="F172" s="297">
        <v>0</v>
      </c>
      <c r="G172" s="132">
        <v>0</v>
      </c>
      <c r="H172" s="272">
        <v>6053324</v>
      </c>
      <c r="I172" s="299">
        <f t="shared" si="46"/>
        <v>75.666550000000001</v>
      </c>
      <c r="J172" s="192">
        <f t="shared" si="49"/>
        <v>6053324</v>
      </c>
      <c r="K172" s="301">
        <f t="shared" si="50"/>
        <v>50.44436666666666</v>
      </c>
      <c r="L172" s="331">
        <f t="shared" si="47"/>
        <v>1</v>
      </c>
      <c r="M172" s="311">
        <f t="shared" si="48"/>
        <v>50.44436666666666</v>
      </c>
      <c r="N172" s="132"/>
    </row>
    <row r="173" spans="1:14">
      <c r="A173" s="44"/>
      <c r="B173" s="47" t="s">
        <v>33</v>
      </c>
      <c r="C173" s="48" t="s">
        <v>34</v>
      </c>
      <c r="D173" s="34">
        <v>12105000</v>
      </c>
      <c r="E173" s="34">
        <v>12105000</v>
      </c>
      <c r="F173" s="117">
        <v>0</v>
      </c>
      <c r="G173" s="132">
        <v>0</v>
      </c>
      <c r="H173" s="272">
        <v>10000000</v>
      </c>
      <c r="I173" s="299">
        <f t="shared" si="46"/>
        <v>82.610491532424618</v>
      </c>
      <c r="J173" s="192">
        <f>H173</f>
        <v>10000000</v>
      </c>
      <c r="K173" s="301">
        <f t="shared" si="50"/>
        <v>82.610491532424618</v>
      </c>
      <c r="L173" s="331">
        <f t="shared" si="47"/>
        <v>1</v>
      </c>
      <c r="M173" s="311">
        <f t="shared" si="48"/>
        <v>82.610491532424618</v>
      </c>
      <c r="N173" s="132"/>
    </row>
    <row r="174" spans="1:14">
      <c r="A174" s="44"/>
      <c r="B174" s="47">
        <v>10</v>
      </c>
      <c r="C174" s="48" t="s">
        <v>35</v>
      </c>
      <c r="D174" s="34">
        <v>11895000</v>
      </c>
      <c r="E174" s="34">
        <v>11895000</v>
      </c>
      <c r="F174" s="117">
        <v>0</v>
      </c>
      <c r="G174" s="132">
        <v>0</v>
      </c>
      <c r="H174" s="272">
        <f>1500000+1000000+1000000+2250000+1000000+750000+2900000</f>
        <v>10400000</v>
      </c>
      <c r="I174" s="299">
        <f t="shared" si="46"/>
        <v>87.431693989071036</v>
      </c>
      <c r="J174" s="192">
        <f t="shared" ref="J174:J177" si="51">H174</f>
        <v>10400000</v>
      </c>
      <c r="K174" s="301">
        <f t="shared" si="50"/>
        <v>87.431693989071036</v>
      </c>
      <c r="L174" s="331">
        <f t="shared" si="47"/>
        <v>1</v>
      </c>
      <c r="M174" s="311">
        <f t="shared" si="48"/>
        <v>87.431693989071036</v>
      </c>
      <c r="N174" s="132"/>
    </row>
    <row r="175" spans="1:14">
      <c r="A175" s="44"/>
      <c r="B175" s="47">
        <v>11</v>
      </c>
      <c r="C175" s="48" t="s">
        <v>36</v>
      </c>
      <c r="D175" s="34">
        <v>6000000</v>
      </c>
      <c r="E175" s="34">
        <v>6000000</v>
      </c>
      <c r="F175" s="117">
        <v>0</v>
      </c>
      <c r="G175" s="132">
        <v>0</v>
      </c>
      <c r="H175" s="272">
        <f>1000000+500000+750000+1700000+200000+350000+500000</f>
        <v>5000000</v>
      </c>
      <c r="I175" s="299">
        <f t="shared" si="46"/>
        <v>83.333333333333343</v>
      </c>
      <c r="J175" s="192">
        <f t="shared" si="51"/>
        <v>5000000</v>
      </c>
      <c r="K175" s="301">
        <f t="shared" si="50"/>
        <v>83.333333333333343</v>
      </c>
      <c r="L175" s="331">
        <f t="shared" si="47"/>
        <v>1</v>
      </c>
      <c r="M175" s="311">
        <f t="shared" si="48"/>
        <v>83.333333333333343</v>
      </c>
      <c r="N175" s="132"/>
    </row>
    <row r="176" spans="1:14">
      <c r="A176" s="44"/>
      <c r="B176" s="47">
        <v>11</v>
      </c>
      <c r="C176" s="48" t="s">
        <v>37</v>
      </c>
      <c r="D176" s="34">
        <v>18000000</v>
      </c>
      <c r="E176" s="34">
        <v>18000000</v>
      </c>
      <c r="F176" s="117">
        <v>0</v>
      </c>
      <c r="G176" s="132">
        <v>0</v>
      </c>
      <c r="H176" s="272">
        <f>2525600+17850+34600+34000+2524800+370000+297800+11600000</f>
        <v>17404650</v>
      </c>
      <c r="I176" s="299">
        <f t="shared" si="46"/>
        <v>96.69250000000001</v>
      </c>
      <c r="J176" s="192">
        <f t="shared" si="51"/>
        <v>17404650</v>
      </c>
      <c r="K176" s="301">
        <f t="shared" si="50"/>
        <v>96.69250000000001</v>
      </c>
      <c r="L176" s="331">
        <f t="shared" si="47"/>
        <v>1</v>
      </c>
      <c r="M176" s="311">
        <f t="shared" si="48"/>
        <v>96.69250000000001</v>
      </c>
      <c r="N176" s="132"/>
    </row>
    <row r="177" spans="1:14">
      <c r="A177" s="44"/>
      <c r="B177" s="47">
        <v>12</v>
      </c>
      <c r="C177" s="48" t="s">
        <v>38</v>
      </c>
      <c r="D177" s="34">
        <v>5000000</v>
      </c>
      <c r="E177" s="34">
        <v>5000000</v>
      </c>
      <c r="F177" s="117">
        <v>0</v>
      </c>
      <c r="G177" s="132">
        <v>0</v>
      </c>
      <c r="H177" s="272">
        <v>4225000</v>
      </c>
      <c r="I177" s="299">
        <f t="shared" si="46"/>
        <v>84.5</v>
      </c>
      <c r="J177" s="192">
        <f t="shared" si="51"/>
        <v>4225000</v>
      </c>
      <c r="K177" s="301">
        <f t="shared" si="50"/>
        <v>84.5</v>
      </c>
      <c r="L177" s="331">
        <f t="shared" si="47"/>
        <v>1</v>
      </c>
      <c r="M177" s="311">
        <f t="shared" si="48"/>
        <v>84.5</v>
      </c>
      <c r="N177" s="132"/>
    </row>
    <row r="178" spans="1:14">
      <c r="A178" s="44"/>
      <c r="B178" s="47">
        <v>13</v>
      </c>
      <c r="C178" s="48" t="s">
        <v>39</v>
      </c>
      <c r="D178" s="34">
        <v>5000000</v>
      </c>
      <c r="E178" s="34">
        <v>5000000</v>
      </c>
      <c r="F178" s="117">
        <v>0</v>
      </c>
      <c r="G178" s="132">
        <v>0</v>
      </c>
      <c r="H178" s="272">
        <f>1000000+250000+500000+745000+750000+500000+700000</f>
        <v>4445000</v>
      </c>
      <c r="I178" s="299">
        <f t="shared" si="46"/>
        <v>88.9</v>
      </c>
      <c r="J178" s="192">
        <f>H178</f>
        <v>4445000</v>
      </c>
      <c r="K178" s="301">
        <f t="shared" si="50"/>
        <v>88.9</v>
      </c>
      <c r="L178" s="331">
        <f t="shared" si="47"/>
        <v>1</v>
      </c>
      <c r="M178" s="311">
        <f t="shared" si="48"/>
        <v>88.9</v>
      </c>
      <c r="N178" s="132"/>
    </row>
    <row r="179" spans="1:14">
      <c r="A179" s="44"/>
      <c r="B179" s="47">
        <v>15</v>
      </c>
      <c r="C179" s="48" t="s">
        <v>40</v>
      </c>
      <c r="D179" s="34">
        <v>3000000</v>
      </c>
      <c r="E179" s="34">
        <v>3000000</v>
      </c>
      <c r="F179" s="117">
        <v>0</v>
      </c>
      <c r="G179" s="132">
        <v>0</v>
      </c>
      <c r="H179" s="272">
        <f>260000+140000+260000+140000+120000+120000+240000</f>
        <v>1280000</v>
      </c>
      <c r="I179" s="299">
        <f t="shared" si="46"/>
        <v>42.666666666666671</v>
      </c>
      <c r="J179" s="192">
        <f t="shared" ref="J179:J180" si="52">H179</f>
        <v>1280000</v>
      </c>
      <c r="K179" s="301">
        <f t="shared" si="50"/>
        <v>42.666666666666671</v>
      </c>
      <c r="L179" s="331">
        <f t="shared" si="47"/>
        <v>1</v>
      </c>
      <c r="M179" s="311">
        <f t="shared" si="48"/>
        <v>42.666666666666671</v>
      </c>
      <c r="N179" s="132"/>
    </row>
    <row r="180" spans="1:14">
      <c r="A180" s="44"/>
      <c r="B180" s="47">
        <v>17</v>
      </c>
      <c r="C180" s="48" t="s">
        <v>41</v>
      </c>
      <c r="D180" s="34">
        <v>5000000</v>
      </c>
      <c r="E180" s="34">
        <v>5000000</v>
      </c>
      <c r="F180" s="117">
        <v>0</v>
      </c>
      <c r="G180" s="132">
        <v>0</v>
      </c>
      <c r="H180" s="272">
        <f>1000000+250000+750000+650000+900000+950000</f>
        <v>4500000</v>
      </c>
      <c r="I180" s="299">
        <f t="shared" si="46"/>
        <v>90</v>
      </c>
      <c r="J180" s="192">
        <f t="shared" si="52"/>
        <v>4500000</v>
      </c>
      <c r="K180" s="301">
        <f t="shared" si="50"/>
        <v>90</v>
      </c>
      <c r="L180" s="331">
        <f t="shared" si="47"/>
        <v>1</v>
      </c>
      <c r="M180" s="311">
        <f t="shared" si="48"/>
        <v>90</v>
      </c>
      <c r="N180" s="132"/>
    </row>
    <row r="181" spans="1:14">
      <c r="A181" s="44"/>
      <c r="B181" s="47">
        <v>17</v>
      </c>
      <c r="C181" s="48" t="s">
        <v>42</v>
      </c>
      <c r="D181" s="34">
        <v>7000000</v>
      </c>
      <c r="E181" s="34">
        <v>10449040</v>
      </c>
      <c r="F181" s="117">
        <v>0</v>
      </c>
      <c r="G181" s="132">
        <v>0</v>
      </c>
      <c r="H181" s="272">
        <f>1200000+400000+1800000+760000+760000+760000</f>
        <v>5680000</v>
      </c>
      <c r="I181" s="299">
        <f t="shared" si="46"/>
        <v>54.359060736680121</v>
      </c>
      <c r="J181" s="192">
        <f>H181</f>
        <v>5680000</v>
      </c>
      <c r="K181" s="301">
        <f>J181/D181*100</f>
        <v>81.142857142857139</v>
      </c>
      <c r="L181" s="331">
        <f t="shared" si="47"/>
        <v>1</v>
      </c>
      <c r="M181" s="311">
        <f t="shared" si="48"/>
        <v>81.142857142857139</v>
      </c>
      <c r="N181" s="132"/>
    </row>
    <row r="182" spans="1:14">
      <c r="A182" s="44"/>
      <c r="B182" s="47">
        <v>18</v>
      </c>
      <c r="C182" s="48" t="s">
        <v>43</v>
      </c>
      <c r="D182" s="34">
        <v>15000000</v>
      </c>
      <c r="E182" s="34">
        <v>20528000</v>
      </c>
      <c r="F182" s="117">
        <v>0</v>
      </c>
      <c r="G182" s="132">
        <v>0</v>
      </c>
      <c r="H182" s="272">
        <v>12075000</v>
      </c>
      <c r="I182" s="299">
        <f>H182/E182*100</f>
        <v>58.822096648480127</v>
      </c>
      <c r="J182" s="192">
        <f>H182</f>
        <v>12075000</v>
      </c>
      <c r="K182" s="301">
        <f t="shared" ref="K182:K183" si="53">J182/D182*100</f>
        <v>80.5</v>
      </c>
      <c r="L182" s="331">
        <f t="shared" si="47"/>
        <v>1</v>
      </c>
      <c r="M182" s="311">
        <f t="shared" si="48"/>
        <v>80.5</v>
      </c>
      <c r="N182" s="132"/>
    </row>
    <row r="183" spans="1:14" ht="15.75" thickBot="1">
      <c r="A183" s="44"/>
      <c r="B183" s="49">
        <v>19</v>
      </c>
      <c r="C183" s="50" t="s">
        <v>44</v>
      </c>
      <c r="D183" s="51">
        <v>51212000</v>
      </c>
      <c r="E183" s="51">
        <v>57547000</v>
      </c>
      <c r="F183" s="298">
        <v>0</v>
      </c>
      <c r="G183" s="133">
        <v>0</v>
      </c>
      <c r="H183" s="272">
        <v>37089000</v>
      </c>
      <c r="I183" s="299">
        <f>H183/E183*100</f>
        <v>64.449927885033105</v>
      </c>
      <c r="J183" s="192">
        <f t="shared" ref="J183" si="54">H183</f>
        <v>37089000</v>
      </c>
      <c r="K183" s="301">
        <f t="shared" si="53"/>
        <v>72.42247910645942</v>
      </c>
      <c r="L183" s="331">
        <f>12/12</f>
        <v>1</v>
      </c>
      <c r="M183" s="311">
        <f t="shared" si="48"/>
        <v>72.42247910645942</v>
      </c>
      <c r="N183" s="133"/>
    </row>
    <row r="184" spans="1:14" ht="15.75" thickBot="1">
      <c r="A184" s="35"/>
      <c r="B184" s="52"/>
      <c r="C184" s="37" t="s">
        <v>45</v>
      </c>
      <c r="D184" s="53">
        <f>SUM(D169:D183)</f>
        <v>170212000</v>
      </c>
      <c r="E184" s="53">
        <f>SUM(E169:E183)</f>
        <v>177524040</v>
      </c>
      <c r="F184" s="53">
        <f>SUM(F169:F183)</f>
        <v>0</v>
      </c>
      <c r="G184" s="53">
        <f t="shared" ref="G184" si="55">SUM(G169:G183)</f>
        <v>0</v>
      </c>
      <c r="H184" s="53">
        <f>SUM(H169:H183)</f>
        <v>126945927</v>
      </c>
      <c r="I184" s="214">
        <f>H184/E184*100</f>
        <v>71.509147155506383</v>
      </c>
      <c r="J184" s="194">
        <f t="shared" ref="J184" si="56">SUM(J169:J183)</f>
        <v>126945927</v>
      </c>
      <c r="K184" s="214">
        <f>J184/D184*100</f>
        <v>74.58106772730477</v>
      </c>
      <c r="L184" s="332">
        <f>12/12</f>
        <v>1</v>
      </c>
      <c r="M184" s="214">
        <f>K184</f>
        <v>74.58106772730477</v>
      </c>
      <c r="N184" s="53"/>
    </row>
    <row r="185" spans="1:14">
      <c r="A185" s="54" t="s">
        <v>29</v>
      </c>
      <c r="B185" s="55" t="s">
        <v>90</v>
      </c>
      <c r="C185" s="56"/>
      <c r="D185" s="57"/>
      <c r="E185" s="57"/>
      <c r="F185" s="119"/>
      <c r="G185" s="131"/>
      <c r="H185" s="152"/>
      <c r="I185" s="152"/>
      <c r="J185" s="119"/>
      <c r="K185" s="152"/>
      <c r="L185" s="152"/>
      <c r="M185" s="152"/>
      <c r="N185" s="131"/>
    </row>
    <row r="186" spans="1:14">
      <c r="A186" s="279"/>
      <c r="B186" s="47" t="s">
        <v>53</v>
      </c>
      <c r="C186" s="46" t="s">
        <v>216</v>
      </c>
      <c r="D186" s="80">
        <v>40000000</v>
      </c>
      <c r="E186" s="80">
        <v>40000000</v>
      </c>
      <c r="F186" s="733" t="s">
        <v>132</v>
      </c>
      <c r="G186" s="131"/>
      <c r="H186" s="152">
        <v>40000000</v>
      </c>
      <c r="I186" s="299">
        <f>H186/E186*100</f>
        <v>100</v>
      </c>
      <c r="J186" s="119">
        <f>H186</f>
        <v>40000000</v>
      </c>
      <c r="K186" s="301">
        <f t="shared" ref="K186:K190" si="57">J186/D186*100</f>
        <v>100</v>
      </c>
      <c r="L186" s="331">
        <f>12/12</f>
        <v>1</v>
      </c>
      <c r="M186" s="311">
        <f t="shared" ref="M186" si="58">K186</f>
        <v>100</v>
      </c>
      <c r="N186" s="131"/>
    </row>
    <row r="187" spans="1:14">
      <c r="A187" s="44"/>
      <c r="B187" s="47" t="s">
        <v>46</v>
      </c>
      <c r="C187" s="58" t="s">
        <v>110</v>
      </c>
      <c r="D187" s="59">
        <v>20000000</v>
      </c>
      <c r="E187" s="59">
        <v>19000000</v>
      </c>
      <c r="F187" s="120">
        <v>0</v>
      </c>
      <c r="G187" s="132">
        <v>0</v>
      </c>
      <c r="H187" s="119">
        <v>14475000</v>
      </c>
      <c r="I187" s="299">
        <f t="shared" ref="I187:I193" si="59">H187/E187*100</f>
        <v>76.18421052631578</v>
      </c>
      <c r="J187" s="119">
        <f>H187</f>
        <v>14475000</v>
      </c>
      <c r="K187" s="301">
        <f t="shared" si="57"/>
        <v>72.375</v>
      </c>
      <c r="L187" s="331">
        <f t="shared" ref="L187:L192" si="60">12/12</f>
        <v>1</v>
      </c>
      <c r="M187" s="311">
        <f>K187</f>
        <v>72.375</v>
      </c>
      <c r="N187" s="132"/>
    </row>
    <row r="188" spans="1:14">
      <c r="A188" s="44"/>
      <c r="B188" s="47">
        <v>21</v>
      </c>
      <c r="C188" s="48" t="s">
        <v>47</v>
      </c>
      <c r="D188" s="59">
        <v>30000000</v>
      </c>
      <c r="E188" s="59">
        <v>30000000</v>
      </c>
      <c r="F188" s="120">
        <v>0</v>
      </c>
      <c r="G188" s="132">
        <v>0</v>
      </c>
      <c r="H188" s="206">
        <v>30000000</v>
      </c>
      <c r="I188" s="299">
        <f t="shared" si="59"/>
        <v>100</v>
      </c>
      <c r="J188" s="119">
        <f t="shared" ref="J188:J189" si="61">H188</f>
        <v>30000000</v>
      </c>
      <c r="K188" s="301">
        <f t="shared" si="57"/>
        <v>100</v>
      </c>
      <c r="L188" s="331">
        <f t="shared" si="60"/>
        <v>1</v>
      </c>
      <c r="M188" s="311">
        <f>K188</f>
        <v>100</v>
      </c>
      <c r="N188" s="132"/>
    </row>
    <row r="189" spans="1:14">
      <c r="A189" s="44"/>
      <c r="B189" s="47">
        <v>22</v>
      </c>
      <c r="C189" s="48" t="s">
        <v>48</v>
      </c>
      <c r="D189" s="60">
        <v>30000000</v>
      </c>
      <c r="E189" s="60">
        <v>33000000</v>
      </c>
      <c r="F189" s="120">
        <v>0</v>
      </c>
      <c r="G189" s="132">
        <v>0</v>
      </c>
      <c r="H189" s="206">
        <v>30000000</v>
      </c>
      <c r="I189" s="299">
        <f t="shared" si="59"/>
        <v>90.909090909090907</v>
      </c>
      <c r="J189" s="119">
        <f t="shared" si="61"/>
        <v>30000000</v>
      </c>
      <c r="K189" s="301">
        <f t="shared" si="57"/>
        <v>100</v>
      </c>
      <c r="L189" s="331">
        <f t="shared" si="60"/>
        <v>1</v>
      </c>
      <c r="M189" s="311">
        <f t="shared" ref="M189" si="62">K189</f>
        <v>100</v>
      </c>
      <c r="N189" s="154"/>
    </row>
    <row r="190" spans="1:14">
      <c r="A190" s="44"/>
      <c r="B190" s="47">
        <v>24</v>
      </c>
      <c r="C190" s="48" t="s">
        <v>49</v>
      </c>
      <c r="D190" s="60">
        <v>35000000</v>
      </c>
      <c r="E190" s="60">
        <v>36000000</v>
      </c>
      <c r="F190" s="120">
        <v>0</v>
      </c>
      <c r="G190" s="132">
        <v>0</v>
      </c>
      <c r="H190" s="708">
        <f>6051250+1700000+2418000+4557000+2750000+2922500+4902000</f>
        <v>25300750</v>
      </c>
      <c r="I190" s="299">
        <f t="shared" si="59"/>
        <v>70.279861111111103</v>
      </c>
      <c r="J190" s="192">
        <f>H190</f>
        <v>25300750</v>
      </c>
      <c r="K190" s="301">
        <f t="shared" si="57"/>
        <v>72.287857142857149</v>
      </c>
      <c r="L190" s="331">
        <f t="shared" si="60"/>
        <v>1</v>
      </c>
      <c r="M190" s="311">
        <f>K190</f>
        <v>72.287857142857149</v>
      </c>
      <c r="N190" s="132"/>
    </row>
    <row r="191" spans="1:14">
      <c r="A191" s="44"/>
      <c r="B191" s="47">
        <v>26</v>
      </c>
      <c r="C191" s="48" t="s">
        <v>50</v>
      </c>
      <c r="D191" s="60">
        <v>4000000</v>
      </c>
      <c r="E191" s="60">
        <v>4000000</v>
      </c>
      <c r="F191" s="120">
        <v>0</v>
      </c>
      <c r="G191" s="132">
        <v>0</v>
      </c>
      <c r="H191" s="708">
        <v>3500000</v>
      </c>
      <c r="I191" s="299">
        <f t="shared" si="59"/>
        <v>87.5</v>
      </c>
      <c r="J191" s="192">
        <f>H191</f>
        <v>3500000</v>
      </c>
      <c r="K191" s="301">
        <f>J191/D191*100</f>
        <v>87.5</v>
      </c>
      <c r="L191" s="331">
        <f t="shared" si="60"/>
        <v>1</v>
      </c>
      <c r="M191" s="311">
        <f t="shared" ref="M191:M193" si="63">K191</f>
        <v>87.5</v>
      </c>
      <c r="N191" s="132"/>
    </row>
    <row r="192" spans="1:14">
      <c r="A192" s="44"/>
      <c r="B192" s="47">
        <v>28</v>
      </c>
      <c r="C192" s="48" t="s">
        <v>51</v>
      </c>
      <c r="D192" s="60">
        <v>12000000</v>
      </c>
      <c r="E192" s="60">
        <v>12000000</v>
      </c>
      <c r="F192" s="120">
        <v>0</v>
      </c>
      <c r="G192" s="132">
        <v>0</v>
      </c>
      <c r="H192" s="708">
        <f>300000+300000+2250000+1000000+400000+1250000+500000+750000+200000+950000+2250000</f>
        <v>10150000</v>
      </c>
      <c r="I192" s="299">
        <f t="shared" si="59"/>
        <v>84.583333333333329</v>
      </c>
      <c r="J192" s="192">
        <f>H192</f>
        <v>10150000</v>
      </c>
      <c r="K192" s="301">
        <f>J192/D192*100</f>
        <v>84.583333333333329</v>
      </c>
      <c r="L192" s="331">
        <f t="shared" si="60"/>
        <v>1</v>
      </c>
      <c r="M192" s="311">
        <f t="shared" si="63"/>
        <v>84.583333333333329</v>
      </c>
      <c r="N192" s="132"/>
    </row>
    <row r="193" spans="1:14">
      <c r="A193" s="44"/>
      <c r="B193" s="61">
        <v>29</v>
      </c>
      <c r="C193" s="50" t="s">
        <v>52</v>
      </c>
      <c r="D193" s="62">
        <v>2000000</v>
      </c>
      <c r="E193" s="62">
        <v>2000000</v>
      </c>
      <c r="F193" s="121">
        <v>0</v>
      </c>
      <c r="G193" s="133">
        <v>0</v>
      </c>
      <c r="H193" s="706">
        <f>200000+100000+390000+350000+460000</f>
        <v>1500000</v>
      </c>
      <c r="I193" s="300">
        <f t="shared" si="59"/>
        <v>75</v>
      </c>
      <c r="J193" s="313">
        <f t="shared" ref="J193" si="64">H193</f>
        <v>1500000</v>
      </c>
      <c r="K193" s="314">
        <f t="shared" ref="K193" si="65">J193/D193*100</f>
        <v>75</v>
      </c>
      <c r="L193" s="331">
        <f>12/12</f>
        <v>1</v>
      </c>
      <c r="M193" s="311">
        <f t="shared" si="63"/>
        <v>75</v>
      </c>
      <c r="N193" s="133"/>
    </row>
    <row r="194" spans="1:14">
      <c r="A194" s="63"/>
      <c r="B194" s="64"/>
      <c r="C194" s="65" t="s">
        <v>45</v>
      </c>
      <c r="D194" s="66">
        <f>SUM(D186:D193)</f>
        <v>173000000</v>
      </c>
      <c r="E194" s="66">
        <f>SUM(E186:E193)</f>
        <v>176000000</v>
      </c>
      <c r="F194" s="122"/>
      <c r="G194" s="66"/>
      <c r="H194" s="285">
        <f>SUM(H186:H193)</f>
        <v>154925750</v>
      </c>
      <c r="I194" s="302">
        <f>H194/E194*100</f>
        <v>88.025994318181816</v>
      </c>
      <c r="J194" s="286">
        <f>SUM(J186:J193)</f>
        <v>154925750</v>
      </c>
      <c r="K194" s="323">
        <f>J194/D194*100</f>
        <v>89.552456647398841</v>
      </c>
      <c r="L194" s="333">
        <f>12/12</f>
        <v>1</v>
      </c>
      <c r="M194" s="302">
        <f>K194</f>
        <v>89.552456647398841</v>
      </c>
      <c r="N194" s="66"/>
    </row>
    <row r="195" spans="1:14">
      <c r="A195" s="67" t="s">
        <v>53</v>
      </c>
      <c r="B195" s="68" t="s">
        <v>54</v>
      </c>
      <c r="C195" s="69"/>
      <c r="D195" s="70"/>
      <c r="E195" s="70"/>
      <c r="F195" s="123"/>
      <c r="G195" s="134"/>
      <c r="H195" s="164"/>
      <c r="I195" s="148"/>
      <c r="J195" s="164"/>
      <c r="K195" s="152"/>
      <c r="L195" s="152"/>
      <c r="M195" s="156"/>
      <c r="N195" s="134"/>
    </row>
    <row r="196" spans="1:14">
      <c r="A196" s="44"/>
      <c r="B196" s="47" t="s">
        <v>26</v>
      </c>
      <c r="C196" s="48" t="s">
        <v>55</v>
      </c>
      <c r="D196" s="60">
        <v>25000000</v>
      </c>
      <c r="E196" s="60">
        <v>15000000</v>
      </c>
      <c r="F196" s="120">
        <v>0</v>
      </c>
      <c r="G196" s="208">
        <v>0</v>
      </c>
      <c r="H196" s="197" t="s">
        <v>132</v>
      </c>
      <c r="I196" s="59" t="s">
        <v>132</v>
      </c>
      <c r="J196" s="197" t="s">
        <v>132</v>
      </c>
      <c r="K196" s="59" t="s">
        <v>132</v>
      </c>
      <c r="L196" s="59">
        <v>0</v>
      </c>
      <c r="M196" s="59">
        <v>0</v>
      </c>
      <c r="N196" s="132"/>
    </row>
    <row r="197" spans="1:14">
      <c r="A197" s="63"/>
      <c r="B197" s="71"/>
      <c r="C197" s="65" t="s">
        <v>45</v>
      </c>
      <c r="D197" s="66">
        <f>SUM(D196:D196)</f>
        <v>25000000</v>
      </c>
      <c r="E197" s="66">
        <f>SUM(E196)</f>
        <v>15000000</v>
      </c>
      <c r="F197" s="122">
        <f>SUM(F196:F196)</f>
        <v>0</v>
      </c>
      <c r="G197" s="202">
        <f>SUM(G196:G196)</f>
        <v>0</v>
      </c>
      <c r="H197" s="122" t="s">
        <v>132</v>
      </c>
      <c r="I197" s="66" t="s">
        <v>132</v>
      </c>
      <c r="J197" s="122" t="s">
        <v>132</v>
      </c>
      <c r="K197" s="155" t="s">
        <v>132</v>
      </c>
      <c r="L197" s="66">
        <f>SUM(L196:L196)</f>
        <v>0</v>
      </c>
      <c r="M197" s="66">
        <f>SUM(M196:M196)</f>
        <v>0</v>
      </c>
      <c r="N197" s="66"/>
    </row>
    <row r="198" spans="1:14">
      <c r="A198" s="44">
        <v>15</v>
      </c>
      <c r="B198" s="72" t="s">
        <v>61</v>
      </c>
      <c r="C198" s="73"/>
      <c r="D198" s="57"/>
      <c r="E198" s="57"/>
      <c r="F198" s="119"/>
      <c r="G198" s="209"/>
      <c r="H198" s="119" t="s">
        <v>132</v>
      </c>
      <c r="I198" s="152" t="s">
        <v>132</v>
      </c>
      <c r="J198" s="119" t="s">
        <v>132</v>
      </c>
      <c r="K198" s="152" t="s">
        <v>132</v>
      </c>
      <c r="L198" s="152"/>
      <c r="M198" s="152"/>
      <c r="N198" s="131"/>
    </row>
    <row r="199" spans="1:14">
      <c r="A199" s="44"/>
      <c r="B199" s="47">
        <v>18</v>
      </c>
      <c r="C199" s="48" t="s">
        <v>62</v>
      </c>
      <c r="D199" s="60">
        <v>5000000</v>
      </c>
      <c r="E199" s="60">
        <v>5000000</v>
      </c>
      <c r="F199" s="120">
        <v>0</v>
      </c>
      <c r="G199" s="208">
        <v>0</v>
      </c>
      <c r="H199" s="120">
        <v>5000000</v>
      </c>
      <c r="I199" s="299">
        <f>H199/E199*100</f>
        <v>100</v>
      </c>
      <c r="J199" s="120">
        <f>H199</f>
        <v>5000000</v>
      </c>
      <c r="K199" s="301">
        <f>J199/D199*100</f>
        <v>100</v>
      </c>
      <c r="L199" s="331">
        <f>12/12</f>
        <v>1</v>
      </c>
      <c r="M199" s="301">
        <f>K199</f>
        <v>100</v>
      </c>
      <c r="N199" s="132"/>
    </row>
    <row r="200" spans="1:14" ht="25.5">
      <c r="A200" s="44"/>
      <c r="B200" s="49">
        <v>63</v>
      </c>
      <c r="C200" s="244" t="s">
        <v>63</v>
      </c>
      <c r="D200" s="62">
        <v>5000000</v>
      </c>
      <c r="E200" s="62">
        <v>5000000</v>
      </c>
      <c r="F200" s="121">
        <v>0</v>
      </c>
      <c r="G200" s="210">
        <v>0</v>
      </c>
      <c r="H200" s="121">
        <v>5000000</v>
      </c>
      <c r="I200" s="299">
        <f>H200/E200*100</f>
        <v>100</v>
      </c>
      <c r="J200" s="120">
        <f>H200</f>
        <v>5000000</v>
      </c>
      <c r="K200" s="314">
        <f>J200/D200*100</f>
        <v>100</v>
      </c>
      <c r="L200" s="331">
        <f>12/12</f>
        <v>1</v>
      </c>
      <c r="M200" s="528">
        <f>K200</f>
        <v>100</v>
      </c>
      <c r="N200" s="133"/>
    </row>
    <row r="201" spans="1:14">
      <c r="A201" s="63"/>
      <c r="B201" s="64"/>
      <c r="C201" s="65" t="s">
        <v>45</v>
      </c>
      <c r="D201" s="66">
        <f>SUM(D199:D200)</f>
        <v>10000000</v>
      </c>
      <c r="E201" s="66">
        <f>SUM(E199:E200)</f>
        <v>10000000</v>
      </c>
      <c r="F201" s="122">
        <f t="shared" ref="F201" si="66">SUM(F199:F200)</f>
        <v>0</v>
      </c>
      <c r="G201" s="202">
        <f>SUM(G199:G200)</f>
        <v>0</v>
      </c>
      <c r="H201" s="195">
        <f>SUM(H199:H200)</f>
        <v>10000000</v>
      </c>
      <c r="I201" s="302">
        <f>H201/E201*100</f>
        <v>100</v>
      </c>
      <c r="J201" s="195">
        <f>SUM(J199:J200)</f>
        <v>10000000</v>
      </c>
      <c r="K201" s="323">
        <f>J201/D201*100</f>
        <v>100</v>
      </c>
      <c r="L201" s="356">
        <f>L200</f>
        <v>1</v>
      </c>
      <c r="M201" s="302">
        <f>K201</f>
        <v>100</v>
      </c>
      <c r="N201" s="66"/>
    </row>
    <row r="202" spans="1:14">
      <c r="A202" s="44">
        <v>30</v>
      </c>
      <c r="B202" s="77" t="s">
        <v>64</v>
      </c>
      <c r="C202" s="78"/>
      <c r="D202" s="57"/>
      <c r="E202" s="57"/>
      <c r="F202" s="119"/>
      <c r="G202" s="209"/>
      <c r="H202" s="119"/>
      <c r="I202" s="152"/>
      <c r="J202" s="119"/>
      <c r="K202" s="152"/>
      <c r="L202" s="152"/>
      <c r="M202" s="311"/>
      <c r="N202" s="131"/>
    </row>
    <row r="203" spans="1:14">
      <c r="A203" s="44"/>
      <c r="B203" s="45">
        <v>2</v>
      </c>
      <c r="C203" s="79" t="s">
        <v>102</v>
      </c>
      <c r="D203" s="80">
        <v>200000000</v>
      </c>
      <c r="E203" s="91">
        <v>199258000</v>
      </c>
      <c r="F203" s="124">
        <v>0</v>
      </c>
      <c r="G203" s="209">
        <v>0</v>
      </c>
      <c r="H203" s="124">
        <v>199258000</v>
      </c>
      <c r="I203" s="300">
        <f>H203/E203*100</f>
        <v>100</v>
      </c>
      <c r="J203" s="120">
        <f>H203</f>
        <v>199258000</v>
      </c>
      <c r="K203" s="314">
        <f>J203/D203*100</f>
        <v>99.629000000000005</v>
      </c>
      <c r="L203" s="331">
        <f>12/12</f>
        <v>1</v>
      </c>
      <c r="M203" s="311">
        <f>K203</f>
        <v>99.629000000000005</v>
      </c>
      <c r="N203" s="131"/>
    </row>
    <row r="204" spans="1:14">
      <c r="A204" s="63"/>
      <c r="B204" s="64"/>
      <c r="C204" s="65" t="s">
        <v>45</v>
      </c>
      <c r="D204" s="66">
        <f>SUM(D202:D203)</f>
        <v>200000000</v>
      </c>
      <c r="E204" s="66">
        <f>SUM(E203)</f>
        <v>199258000</v>
      </c>
      <c r="F204" s="66">
        <f>SUM(F202:F203)</f>
        <v>0</v>
      </c>
      <c r="G204" s="202">
        <f>SUM(G202:G203)</f>
        <v>0</v>
      </c>
      <c r="H204" s="122">
        <f>SUM(H203)</f>
        <v>199258000</v>
      </c>
      <c r="I204" s="735">
        <f>H204/E204*100</f>
        <v>100</v>
      </c>
      <c r="J204" s="122">
        <f>SUM(J203)</f>
        <v>199258000</v>
      </c>
      <c r="K204" s="323">
        <f>J204/D204*100</f>
        <v>99.629000000000005</v>
      </c>
      <c r="L204" s="356">
        <f>L203</f>
        <v>1</v>
      </c>
      <c r="M204" s="302">
        <f>K204</f>
        <v>99.629000000000005</v>
      </c>
      <c r="N204" s="66"/>
    </row>
    <row r="205" spans="1:14">
      <c r="A205" s="44">
        <v>21</v>
      </c>
      <c r="B205" s="81" t="s">
        <v>65</v>
      </c>
      <c r="C205" s="82"/>
      <c r="D205" s="57"/>
      <c r="E205" s="70"/>
      <c r="F205" s="719"/>
      <c r="G205" s="209"/>
      <c r="H205" s="119"/>
      <c r="I205" s="152"/>
      <c r="J205" s="119"/>
      <c r="K205" s="152"/>
      <c r="L205" s="152"/>
      <c r="M205" s="311"/>
      <c r="N205" s="131"/>
    </row>
    <row r="206" spans="1:14">
      <c r="A206" s="44"/>
      <c r="B206" s="47" t="s">
        <v>46</v>
      </c>
      <c r="C206" s="48" t="s">
        <v>66</v>
      </c>
      <c r="D206" s="60">
        <v>20000000</v>
      </c>
      <c r="E206" s="60">
        <v>20000000</v>
      </c>
      <c r="F206" s="125">
        <v>0</v>
      </c>
      <c r="G206" s="211">
        <v>0</v>
      </c>
      <c r="H206" s="199">
        <v>20000000</v>
      </c>
      <c r="I206" s="312">
        <f>H206/E206*100</f>
        <v>100</v>
      </c>
      <c r="J206" s="197">
        <f>H206</f>
        <v>20000000</v>
      </c>
      <c r="K206" s="301">
        <f>I206</f>
        <v>100</v>
      </c>
      <c r="L206" s="331">
        <f>12/12</f>
        <v>1</v>
      </c>
      <c r="M206" s="301">
        <f>K206</f>
        <v>100</v>
      </c>
      <c r="N206" s="132"/>
    </row>
    <row r="207" spans="1:14">
      <c r="A207" s="63"/>
      <c r="B207" s="83"/>
      <c r="C207" s="65" t="s">
        <v>45</v>
      </c>
      <c r="D207" s="66">
        <f>SUM(D206:D206)</f>
        <v>20000000</v>
      </c>
      <c r="E207" s="66">
        <f>SUM(E206:E206)</f>
        <v>20000000</v>
      </c>
      <c r="F207" s="720">
        <f t="shared" ref="F207:G207" si="67">SUM(F204:F206)</f>
        <v>0</v>
      </c>
      <c r="G207" s="202">
        <f t="shared" si="67"/>
        <v>0</v>
      </c>
      <c r="H207" s="122">
        <f>SUM(H206)</f>
        <v>20000000</v>
      </c>
      <c r="I207" s="323">
        <f>H207/D207*100</f>
        <v>100</v>
      </c>
      <c r="J207" s="122">
        <f>SUM(J206)</f>
        <v>20000000</v>
      </c>
      <c r="K207" s="302">
        <f>I207</f>
        <v>100</v>
      </c>
      <c r="L207" s="356">
        <f>L206</f>
        <v>1</v>
      </c>
      <c r="M207" s="302">
        <f>SUM(M206)</f>
        <v>100</v>
      </c>
      <c r="N207" s="66"/>
    </row>
    <row r="208" spans="1:14">
      <c r="A208" s="84">
        <v>18</v>
      </c>
      <c r="B208" s="826" t="s">
        <v>96</v>
      </c>
      <c r="C208" s="827"/>
      <c r="D208" s="57"/>
      <c r="E208" s="57"/>
      <c r="F208" s="719"/>
      <c r="G208" s="209"/>
      <c r="H208" s="119"/>
      <c r="I208" s="152"/>
      <c r="J208" s="119"/>
      <c r="K208" s="152"/>
      <c r="L208" s="152"/>
      <c r="M208" s="152"/>
      <c r="N208" s="131"/>
    </row>
    <row r="209" spans="1:14">
      <c r="A209" s="84"/>
      <c r="B209" s="830" t="s">
        <v>95</v>
      </c>
      <c r="C209" s="831"/>
      <c r="D209" s="57"/>
      <c r="E209" s="57"/>
      <c r="F209" s="124"/>
      <c r="G209" s="209"/>
      <c r="H209" s="119"/>
      <c r="I209" s="152"/>
      <c r="J209" s="119"/>
      <c r="K209" s="152"/>
      <c r="L209" s="152"/>
      <c r="M209" s="152"/>
      <c r="N209" s="131"/>
    </row>
    <row r="210" spans="1:14">
      <c r="A210" s="44"/>
      <c r="B210" s="47" t="s">
        <v>26</v>
      </c>
      <c r="C210" s="48" t="s">
        <v>67</v>
      </c>
      <c r="D210" s="60">
        <v>20000000</v>
      </c>
      <c r="E210" s="60">
        <v>25000000</v>
      </c>
      <c r="F210" s="125">
        <v>0</v>
      </c>
      <c r="G210" s="211">
        <v>0</v>
      </c>
      <c r="H210" s="199">
        <v>20000000</v>
      </c>
      <c r="I210" s="299">
        <f>H210/E210*100</f>
        <v>80</v>
      </c>
      <c r="J210" s="119">
        <f t="shared" ref="J210" si="68">H210</f>
        <v>20000000</v>
      </c>
      <c r="K210" s="301">
        <f>I210</f>
        <v>80</v>
      </c>
      <c r="L210" s="59">
        <v>0</v>
      </c>
      <c r="M210" s="59">
        <v>0</v>
      </c>
      <c r="N210" s="132"/>
    </row>
    <row r="211" spans="1:14">
      <c r="A211" s="44"/>
      <c r="B211" s="47" t="s">
        <v>29</v>
      </c>
      <c r="C211" s="204" t="s">
        <v>220</v>
      </c>
      <c r="D211" s="179">
        <v>7000000</v>
      </c>
      <c r="E211" s="179">
        <v>-7000000</v>
      </c>
      <c r="F211" s="180">
        <v>0</v>
      </c>
      <c r="G211" s="181">
        <v>0</v>
      </c>
      <c r="H211" s="207">
        <v>0</v>
      </c>
      <c r="I211" s="148" t="s">
        <v>132</v>
      </c>
      <c r="J211" s="119">
        <v>0</v>
      </c>
      <c r="K211" s="148" t="s">
        <v>132</v>
      </c>
      <c r="L211" s="59">
        <v>0</v>
      </c>
      <c r="M211" s="148">
        <v>0</v>
      </c>
      <c r="N211" s="165"/>
    </row>
    <row r="212" spans="1:14">
      <c r="A212" s="44"/>
      <c r="B212" s="47"/>
      <c r="C212" s="48" t="s">
        <v>117</v>
      </c>
      <c r="D212" s="60"/>
      <c r="E212" s="60"/>
      <c r="F212" s="125"/>
      <c r="G212" s="135"/>
      <c r="H212" s="199"/>
      <c r="I212" s="157"/>
      <c r="J212" s="197"/>
      <c r="K212" s="59"/>
      <c r="L212" s="59"/>
      <c r="M212" s="59"/>
      <c r="N212" s="132"/>
    </row>
    <row r="213" spans="1:14">
      <c r="A213" s="63"/>
      <c r="B213" s="71"/>
      <c r="C213" s="65" t="s">
        <v>45</v>
      </c>
      <c r="D213" s="66">
        <f>SUM(D210:D212)</f>
        <v>27000000</v>
      </c>
      <c r="E213" s="66">
        <f>E210</f>
        <v>25000000</v>
      </c>
      <c r="F213" s="720">
        <f t="shared" ref="F213" si="69">SUM(F210:F210)</f>
        <v>0</v>
      </c>
      <c r="G213" s="66">
        <f>SUM(G210:G210)</f>
        <v>0</v>
      </c>
      <c r="H213" s="122">
        <f>SUM(H210:H212)</f>
        <v>20000000</v>
      </c>
      <c r="I213" s="302">
        <f>H213/E213*100</f>
        <v>80</v>
      </c>
      <c r="J213" s="122">
        <f>SUM(J210:J212)</f>
        <v>20000000</v>
      </c>
      <c r="K213" s="302">
        <f>I213</f>
        <v>80</v>
      </c>
      <c r="L213" s="66">
        <f>SUM(L210:L212)</f>
        <v>0</v>
      </c>
      <c r="M213" s="66">
        <f t="shared" ref="M213" si="70">SUM(M210:M210)</f>
        <v>0</v>
      </c>
      <c r="N213" s="66"/>
    </row>
    <row r="214" spans="1:14">
      <c r="A214" s="84">
        <v>17</v>
      </c>
      <c r="B214" s="826" t="s">
        <v>130</v>
      </c>
      <c r="C214" s="827"/>
      <c r="D214" s="57"/>
      <c r="E214" s="57"/>
      <c r="F214" s="719"/>
      <c r="G214" s="131"/>
      <c r="H214" s="119"/>
      <c r="I214" s="152"/>
      <c r="J214" s="119"/>
      <c r="K214" s="152"/>
      <c r="L214" s="152"/>
      <c r="M214" s="152"/>
      <c r="N214" s="131"/>
    </row>
    <row r="215" spans="1:14">
      <c r="A215" s="44"/>
      <c r="B215" s="47" t="s">
        <v>53</v>
      </c>
      <c r="C215" s="48" t="s">
        <v>131</v>
      </c>
      <c r="D215" s="60">
        <v>24000000</v>
      </c>
      <c r="E215" s="60">
        <v>19000000</v>
      </c>
      <c r="F215" s="125">
        <v>0</v>
      </c>
      <c r="G215" s="135">
        <v>0</v>
      </c>
      <c r="H215" s="197">
        <v>19000000</v>
      </c>
      <c r="I215" s="300">
        <f>H215/E215*100</f>
        <v>100</v>
      </c>
      <c r="J215" s="197">
        <f>H215</f>
        <v>19000000</v>
      </c>
      <c r="K215" s="301">
        <f>I215</f>
        <v>100</v>
      </c>
      <c r="L215" s="331">
        <f>12/12</f>
        <v>1</v>
      </c>
      <c r="M215" s="301">
        <f>K215</f>
        <v>100</v>
      </c>
      <c r="N215" s="132"/>
    </row>
    <row r="216" spans="1:14">
      <c r="A216" s="63"/>
      <c r="B216" s="64"/>
      <c r="C216" s="65" t="s">
        <v>45</v>
      </c>
      <c r="D216" s="66">
        <f>SUM(D215:D215)</f>
        <v>24000000</v>
      </c>
      <c r="E216" s="66">
        <f>SUM(E215:E215)</f>
        <v>19000000</v>
      </c>
      <c r="F216" s="720">
        <f t="shared" ref="F216:G216" si="71">SUM(F214:F215)</f>
        <v>0</v>
      </c>
      <c r="G216" s="66">
        <f t="shared" si="71"/>
        <v>0</v>
      </c>
      <c r="H216" s="122">
        <f>SUM(H215)</f>
        <v>19000000</v>
      </c>
      <c r="I216" s="735">
        <f>H216/E216*100</f>
        <v>100</v>
      </c>
      <c r="J216" s="122">
        <f>SUM(J215)</f>
        <v>19000000</v>
      </c>
      <c r="K216" s="302">
        <f>I216</f>
        <v>100</v>
      </c>
      <c r="L216" s="356">
        <f>L215</f>
        <v>1</v>
      </c>
      <c r="M216" s="302">
        <f t="shared" ref="M216" si="72">SUM(M214:M215)</f>
        <v>100</v>
      </c>
      <c r="N216" s="66"/>
    </row>
    <row r="217" spans="1:14">
      <c r="A217" s="44">
        <v>15</v>
      </c>
      <c r="B217" s="739" t="s">
        <v>68</v>
      </c>
      <c r="C217" s="86"/>
      <c r="D217" s="57"/>
      <c r="E217" s="57"/>
      <c r="F217" s="719"/>
      <c r="G217" s="131"/>
      <c r="H217" s="119"/>
      <c r="I217" s="152"/>
      <c r="J217" s="119"/>
      <c r="K217" s="152"/>
      <c r="L217" s="152"/>
      <c r="M217" s="152"/>
      <c r="N217" s="131"/>
    </row>
    <row r="218" spans="1:14" ht="26.25">
      <c r="A218" s="44"/>
      <c r="B218" s="49" t="s">
        <v>80</v>
      </c>
      <c r="C218" s="50" t="s">
        <v>118</v>
      </c>
      <c r="D218" s="62">
        <v>10000000</v>
      </c>
      <c r="E218" s="62">
        <v>7500000</v>
      </c>
      <c r="F218" s="125">
        <v>0</v>
      </c>
      <c r="G218" s="135">
        <v>0</v>
      </c>
      <c r="H218" s="119" t="s">
        <v>132</v>
      </c>
      <c r="I218" s="59" t="s">
        <v>132</v>
      </c>
      <c r="J218" s="119" t="s">
        <v>132</v>
      </c>
      <c r="K218" s="59" t="s">
        <v>132</v>
      </c>
      <c r="L218" s="339"/>
      <c r="M218" s="59">
        <v>0</v>
      </c>
      <c r="N218" s="132"/>
    </row>
    <row r="219" spans="1:14">
      <c r="A219" s="44"/>
      <c r="B219" s="49" t="s">
        <v>69</v>
      </c>
      <c r="C219" s="50" t="s">
        <v>70</v>
      </c>
      <c r="D219" s="62">
        <v>60000000</v>
      </c>
      <c r="E219" s="62">
        <v>60000000</v>
      </c>
      <c r="F219" s="125">
        <v>0</v>
      </c>
      <c r="G219" s="135">
        <v>0</v>
      </c>
      <c r="H219" s="197">
        <v>60000000</v>
      </c>
      <c r="I219" s="300">
        <f>H219/E219*100</f>
        <v>100</v>
      </c>
      <c r="J219" s="197">
        <f>H219</f>
        <v>60000000</v>
      </c>
      <c r="K219" s="301">
        <f>I219</f>
        <v>100</v>
      </c>
      <c r="L219" s="331">
        <f>12/12</f>
        <v>1</v>
      </c>
      <c r="M219" s="301">
        <f>K219</f>
        <v>100</v>
      </c>
      <c r="N219" s="132"/>
    </row>
    <row r="220" spans="1:14">
      <c r="A220" s="63"/>
      <c r="B220" s="64"/>
      <c r="C220" s="65" t="s">
        <v>45</v>
      </c>
      <c r="D220" s="66">
        <f>SUM(D218:D219)</f>
        <v>70000000</v>
      </c>
      <c r="E220" s="66">
        <f>SUM(E218:E219)</f>
        <v>67500000</v>
      </c>
      <c r="F220" s="720">
        <f>SUM(F216:F219)</f>
        <v>0</v>
      </c>
      <c r="G220" s="66">
        <f>SUM(G216:G219)</f>
        <v>0</v>
      </c>
      <c r="H220" s="122">
        <f>SUM(H219)</f>
        <v>60000000</v>
      </c>
      <c r="I220" s="735">
        <f>H220/E220*100</f>
        <v>88.888888888888886</v>
      </c>
      <c r="J220" s="122">
        <f>SUM(J219)</f>
        <v>60000000</v>
      </c>
      <c r="K220" s="302">
        <f>I220</f>
        <v>88.888888888888886</v>
      </c>
      <c r="L220" s="356">
        <f>L219</f>
        <v>1</v>
      </c>
      <c r="M220" s="302">
        <f>SUM(M216:M219)</f>
        <v>200</v>
      </c>
      <c r="N220" s="66"/>
    </row>
    <row r="221" spans="1:14">
      <c r="A221" s="44">
        <v>16</v>
      </c>
      <c r="B221" s="81" t="s">
        <v>71</v>
      </c>
      <c r="C221" s="82"/>
      <c r="D221" s="57"/>
      <c r="E221" s="57"/>
      <c r="F221" s="719"/>
      <c r="G221" s="131"/>
      <c r="H221" s="119"/>
      <c r="I221" s="152"/>
      <c r="J221" s="119"/>
      <c r="K221" s="152"/>
      <c r="L221" s="152"/>
      <c r="M221" s="152"/>
      <c r="N221" s="131"/>
    </row>
    <row r="222" spans="1:14">
      <c r="A222" s="44"/>
      <c r="B222" s="47" t="s">
        <v>72</v>
      </c>
      <c r="C222" s="48" t="s">
        <v>73</v>
      </c>
      <c r="D222" s="60">
        <v>5000000</v>
      </c>
      <c r="E222" s="60">
        <v>5000000</v>
      </c>
      <c r="F222" s="721">
        <v>0</v>
      </c>
      <c r="G222" s="132">
        <v>0</v>
      </c>
      <c r="H222" s="120">
        <v>5000000</v>
      </c>
      <c r="I222" s="300">
        <f t="shared" ref="I222" si="73">H222/E222*100</f>
        <v>100</v>
      </c>
      <c r="J222" s="313">
        <f t="shared" ref="J222:J223" si="74">H222</f>
        <v>5000000</v>
      </c>
      <c r="K222" s="314">
        <f t="shared" ref="K222:K223" si="75">J222/D222*100</f>
        <v>100</v>
      </c>
      <c r="L222" s="331">
        <f>12/12</f>
        <v>1</v>
      </c>
      <c r="M222" s="311">
        <f>K222</f>
        <v>100</v>
      </c>
      <c r="N222" s="132"/>
    </row>
    <row r="223" spans="1:14">
      <c r="A223" s="63"/>
      <c r="B223" s="83"/>
      <c r="C223" s="65" t="s">
        <v>45</v>
      </c>
      <c r="D223" s="66">
        <f>SUM(D222:D222)</f>
        <v>5000000</v>
      </c>
      <c r="E223" s="66">
        <f>SUM(E222:E222)</f>
        <v>5000000</v>
      </c>
      <c r="F223" s="722">
        <f>SUM(F222:F222)</f>
        <v>0</v>
      </c>
      <c r="G223" s="66">
        <f>SUM(G222:G222)</f>
        <v>0</v>
      </c>
      <c r="H223" s="195">
        <f>H222</f>
        <v>5000000</v>
      </c>
      <c r="I223" s="302">
        <f>H223/D223*100</f>
        <v>100</v>
      </c>
      <c r="J223" s="530">
        <f t="shared" si="74"/>
        <v>5000000</v>
      </c>
      <c r="K223" s="531">
        <f t="shared" si="75"/>
        <v>100</v>
      </c>
      <c r="L223" s="333">
        <f>SUM(L222)</f>
        <v>1</v>
      </c>
      <c r="M223" s="302">
        <f>SUM(M222)</f>
        <v>100</v>
      </c>
      <c r="N223" s="66"/>
    </row>
    <row r="224" spans="1:14">
      <c r="A224" s="87" t="s">
        <v>69</v>
      </c>
      <c r="B224" s="826" t="s">
        <v>89</v>
      </c>
      <c r="C224" s="827"/>
      <c r="D224" s="70"/>
      <c r="E224" s="70"/>
      <c r="F224" s="723"/>
      <c r="G224" s="134"/>
      <c r="H224" s="123"/>
      <c r="I224" s="156"/>
      <c r="J224" s="123"/>
      <c r="K224" s="156"/>
      <c r="L224" s="156"/>
      <c r="M224" s="156"/>
      <c r="N224" s="134"/>
    </row>
    <row r="225" spans="1:14">
      <c r="A225" s="88"/>
      <c r="B225" s="830" t="s">
        <v>88</v>
      </c>
      <c r="C225" s="831"/>
      <c r="D225" s="57"/>
      <c r="E225" s="57"/>
      <c r="F225" s="719"/>
      <c r="G225" s="131"/>
      <c r="H225" s="119"/>
      <c r="I225" s="152"/>
      <c r="J225" s="119"/>
      <c r="K225" s="152"/>
      <c r="L225" s="152"/>
      <c r="M225" s="152"/>
      <c r="N225" s="131"/>
    </row>
    <row r="226" spans="1:14">
      <c r="A226" s="89"/>
      <c r="B226" s="61" t="s">
        <v>26</v>
      </c>
      <c r="C226" s="90" t="s">
        <v>74</v>
      </c>
      <c r="D226" s="91">
        <v>15000000</v>
      </c>
      <c r="E226" s="91">
        <v>15000000</v>
      </c>
      <c r="F226" s="724">
        <v>0</v>
      </c>
      <c r="G226" s="136">
        <v>0</v>
      </c>
      <c r="H226" s="126">
        <v>15000000</v>
      </c>
      <c r="I226" s="300">
        <f>H226/E226*100</f>
        <v>100</v>
      </c>
      <c r="J226" s="313">
        <f>H226</f>
        <v>15000000</v>
      </c>
      <c r="K226" s="314">
        <f t="shared" ref="K226:K227" si="76">J226/D226*100</f>
        <v>100</v>
      </c>
      <c r="L226" s="331">
        <f>12/12</f>
        <v>1</v>
      </c>
      <c r="M226" s="311">
        <f>K226</f>
        <v>100</v>
      </c>
      <c r="N226" s="136"/>
    </row>
    <row r="227" spans="1:14">
      <c r="A227" s="63"/>
      <c r="B227" s="83"/>
      <c r="C227" s="65" t="s">
        <v>45</v>
      </c>
      <c r="D227" s="66">
        <f>SUM(D226:D226)</f>
        <v>15000000</v>
      </c>
      <c r="E227" s="66">
        <f>SUM(E226:E226)</f>
        <v>15000000</v>
      </c>
      <c r="F227" s="722">
        <f>SUM(F226:F226)</f>
        <v>0</v>
      </c>
      <c r="G227" s="66">
        <f>SUM(G226:G226)</f>
        <v>0</v>
      </c>
      <c r="H227" s="532">
        <f>SUM(H226)</f>
        <v>15000000</v>
      </c>
      <c r="I227" s="302">
        <f>H227/D227*100</f>
        <v>100</v>
      </c>
      <c r="J227" s="533">
        <f t="shared" ref="J227" si="77">H227</f>
        <v>15000000</v>
      </c>
      <c r="K227" s="340">
        <f t="shared" si="76"/>
        <v>100</v>
      </c>
      <c r="L227" s="333">
        <f>SUM(L226)</f>
        <v>1</v>
      </c>
      <c r="M227" s="302">
        <f>SUM(M226)</f>
        <v>100</v>
      </c>
      <c r="N227" s="66"/>
    </row>
    <row r="228" spans="1:14">
      <c r="A228" s="88"/>
      <c r="B228" s="826" t="s">
        <v>94</v>
      </c>
      <c r="C228" s="827"/>
      <c r="D228" s="57"/>
      <c r="E228" s="57"/>
      <c r="F228" s="719"/>
      <c r="G228" s="131"/>
      <c r="H228" s="119"/>
      <c r="I228" s="152"/>
      <c r="J228" s="119"/>
      <c r="K228" s="152"/>
      <c r="L228" s="152"/>
      <c r="M228" s="152"/>
      <c r="N228" s="131"/>
    </row>
    <row r="229" spans="1:14">
      <c r="A229" s="84"/>
      <c r="B229" s="92" t="s">
        <v>26</v>
      </c>
      <c r="C229" s="48" t="s">
        <v>134</v>
      </c>
      <c r="D229" s="60">
        <v>4000000</v>
      </c>
      <c r="E229" s="60">
        <v>4000000</v>
      </c>
      <c r="F229" s="125">
        <v>0</v>
      </c>
      <c r="G229" s="135">
        <v>0</v>
      </c>
      <c r="H229" s="197">
        <v>4000000</v>
      </c>
      <c r="I229" s="300">
        <f>H229/E229*100</f>
        <v>100</v>
      </c>
      <c r="J229" s="197">
        <f>H229</f>
        <v>4000000</v>
      </c>
      <c r="K229" s="314">
        <f t="shared" ref="K229:K230" si="78">J229/D229*100</f>
        <v>100</v>
      </c>
      <c r="L229" s="331">
        <f>12/12</f>
        <v>1</v>
      </c>
      <c r="M229" s="301">
        <f>K229</f>
        <v>100</v>
      </c>
      <c r="N229" s="132"/>
    </row>
    <row r="230" spans="1:14">
      <c r="A230" s="93"/>
      <c r="B230" s="64"/>
      <c r="C230" s="65" t="s">
        <v>45</v>
      </c>
      <c r="D230" s="66">
        <f>SUM(D229:D229)</f>
        <v>4000000</v>
      </c>
      <c r="E230" s="66">
        <f>SUM(E229:E229)</f>
        <v>4000000</v>
      </c>
      <c r="F230" s="720">
        <f t="shared" ref="F230:G230" si="79">SUM(F224:F229)</f>
        <v>0</v>
      </c>
      <c r="G230" s="66">
        <f t="shared" si="79"/>
        <v>0</v>
      </c>
      <c r="H230" s="122">
        <f>SUM(H229)</f>
        <v>4000000</v>
      </c>
      <c r="I230" s="735">
        <f>H230/E230*100</f>
        <v>100</v>
      </c>
      <c r="J230" s="533">
        <f t="shared" ref="J230" si="80">H230</f>
        <v>4000000</v>
      </c>
      <c r="K230" s="340">
        <f t="shared" si="78"/>
        <v>100</v>
      </c>
      <c r="L230" s="356">
        <f>L229</f>
        <v>1</v>
      </c>
      <c r="M230" s="302">
        <f>K230</f>
        <v>100</v>
      </c>
      <c r="N230" s="66"/>
    </row>
    <row r="231" spans="1:14">
      <c r="A231" s="84">
        <v>16</v>
      </c>
      <c r="B231" s="826" t="s">
        <v>75</v>
      </c>
      <c r="C231" s="827"/>
      <c r="D231" s="57"/>
      <c r="E231" s="57"/>
      <c r="F231" s="719"/>
      <c r="G231" s="131"/>
      <c r="H231" s="119"/>
      <c r="I231" s="156"/>
      <c r="J231" s="123"/>
      <c r="K231" s="152"/>
      <c r="L231" s="152"/>
      <c r="M231" s="152"/>
      <c r="N231" s="131"/>
    </row>
    <row r="232" spans="1:14">
      <c r="A232" s="84"/>
      <c r="B232" s="94" t="s">
        <v>72</v>
      </c>
      <c r="C232" s="95" t="s">
        <v>103</v>
      </c>
      <c r="D232" s="80">
        <v>10000000</v>
      </c>
      <c r="E232" s="80">
        <v>10000000</v>
      </c>
      <c r="F232" s="124"/>
      <c r="G232" s="131"/>
      <c r="H232" s="705">
        <v>9000000</v>
      </c>
      <c r="I232" s="300">
        <f>H232/E232*100</f>
        <v>90</v>
      </c>
      <c r="J232" s="313">
        <f t="shared" ref="J232" si="81">H232</f>
        <v>9000000</v>
      </c>
      <c r="K232" s="314">
        <f t="shared" ref="K232" si="82">J232/D232*100</f>
        <v>90</v>
      </c>
      <c r="L232" s="331">
        <f>12/12</f>
        <v>1</v>
      </c>
      <c r="M232" s="311">
        <f>K232</f>
        <v>90</v>
      </c>
      <c r="N232" s="131"/>
    </row>
    <row r="233" spans="1:14">
      <c r="A233" s="93"/>
      <c r="B233" s="83"/>
      <c r="C233" s="65" t="s">
        <v>45</v>
      </c>
      <c r="D233" s="66">
        <f>SUM(D232)</f>
        <v>10000000</v>
      </c>
      <c r="E233" s="66">
        <f>SUM(E232)</f>
        <v>10000000</v>
      </c>
      <c r="F233" s="720">
        <f t="shared" ref="F233:G233" si="83">SUM(F231:F232)</f>
        <v>0</v>
      </c>
      <c r="G233" s="66">
        <f t="shared" si="83"/>
        <v>0</v>
      </c>
      <c r="H233" s="122">
        <f>SUM(H232)</f>
        <v>9000000</v>
      </c>
      <c r="I233" s="735">
        <f>H233/E233*100</f>
        <v>90</v>
      </c>
      <c r="J233" s="122">
        <f t="shared" ref="J233:K233" si="84">SUM(J232)</f>
        <v>9000000</v>
      </c>
      <c r="K233" s="302">
        <f t="shared" si="84"/>
        <v>90</v>
      </c>
      <c r="L233" s="333">
        <f>SUM(L232)</f>
        <v>1</v>
      </c>
      <c r="M233" s="302">
        <f t="shared" ref="M233" si="85">SUM(M232)</f>
        <v>90</v>
      </c>
      <c r="N233" s="66"/>
    </row>
    <row r="234" spans="1:14">
      <c r="A234" s="84">
        <v>22</v>
      </c>
      <c r="B234" s="826" t="s">
        <v>87</v>
      </c>
      <c r="C234" s="827"/>
      <c r="D234" s="57"/>
      <c r="E234" s="57"/>
      <c r="F234" s="719"/>
      <c r="G234" s="131"/>
      <c r="H234" s="119"/>
      <c r="I234" s="152"/>
      <c r="J234" s="119"/>
      <c r="K234" s="152"/>
      <c r="L234" s="152"/>
      <c r="M234" s="152"/>
      <c r="N234" s="131"/>
    </row>
    <row r="235" spans="1:14" ht="25.5">
      <c r="A235" s="84"/>
      <c r="B235" s="47" t="s">
        <v>26</v>
      </c>
      <c r="C235" s="95" t="s">
        <v>76</v>
      </c>
      <c r="D235" s="60">
        <v>3500000</v>
      </c>
      <c r="E235" s="60">
        <v>3500000</v>
      </c>
      <c r="F235" s="125">
        <v>0</v>
      </c>
      <c r="G235" s="135">
        <v>0</v>
      </c>
      <c r="H235" s="706">
        <f>875000+875000+875000</f>
        <v>2625000</v>
      </c>
      <c r="I235" s="300">
        <f>H235/E235*100</f>
        <v>75</v>
      </c>
      <c r="J235" s="197">
        <f>H235</f>
        <v>2625000</v>
      </c>
      <c r="K235" s="314">
        <f t="shared" ref="K235:K236" si="86">J235/D235*100</f>
        <v>75</v>
      </c>
      <c r="L235" s="331">
        <f>12/12</f>
        <v>1</v>
      </c>
      <c r="M235" s="311">
        <f>K235</f>
        <v>75</v>
      </c>
      <c r="N235" s="132"/>
    </row>
    <row r="236" spans="1:14">
      <c r="A236" s="63"/>
      <c r="B236" s="83"/>
      <c r="C236" s="65" t="s">
        <v>45</v>
      </c>
      <c r="D236" s="66">
        <f>SUM(D235:D235)</f>
        <v>3500000</v>
      </c>
      <c r="E236" s="66">
        <f>SUM(E235:E235)</f>
        <v>3500000</v>
      </c>
      <c r="F236" s="720">
        <f t="shared" ref="F236:G236" si="87">SUM(F233:F235)</f>
        <v>0</v>
      </c>
      <c r="G236" s="66">
        <f t="shared" si="87"/>
        <v>0</v>
      </c>
      <c r="H236" s="122">
        <f>SUM(H235)</f>
        <v>2625000</v>
      </c>
      <c r="I236" s="735">
        <f>H236/E236*100</f>
        <v>75</v>
      </c>
      <c r="J236" s="122">
        <f>SUM(J235)</f>
        <v>2625000</v>
      </c>
      <c r="K236" s="536">
        <f t="shared" si="86"/>
        <v>75</v>
      </c>
      <c r="L236" s="333">
        <f>SUM(L235)</f>
        <v>1</v>
      </c>
      <c r="M236" s="302">
        <f>SUM(M235)</f>
        <v>75</v>
      </c>
      <c r="N236" s="66"/>
    </row>
    <row r="237" spans="1:14">
      <c r="A237" s="44">
        <v>17</v>
      </c>
      <c r="B237" s="822" t="s">
        <v>56</v>
      </c>
      <c r="C237" s="823"/>
      <c r="D237" s="182"/>
      <c r="E237" s="182"/>
      <c r="F237" s="719"/>
      <c r="G237" s="131"/>
      <c r="H237" s="119"/>
      <c r="I237" s="152"/>
      <c r="J237" s="119"/>
      <c r="K237" s="152"/>
      <c r="L237" s="152"/>
      <c r="M237" s="152"/>
      <c r="N237" s="131"/>
    </row>
    <row r="238" spans="1:14">
      <c r="A238" s="44"/>
      <c r="B238" s="47">
        <v>19</v>
      </c>
      <c r="C238" s="824" t="s">
        <v>91</v>
      </c>
      <c r="D238" s="729"/>
      <c r="E238" s="729"/>
      <c r="F238" s="721"/>
      <c r="G238" s="132"/>
      <c r="H238" s="119"/>
      <c r="I238" s="59"/>
      <c r="J238" s="119"/>
      <c r="K238" s="59"/>
      <c r="L238" s="59"/>
      <c r="M238" s="59"/>
      <c r="N238" s="132"/>
    </row>
    <row r="239" spans="1:14">
      <c r="A239" s="44"/>
      <c r="B239" s="163"/>
      <c r="C239" s="825"/>
      <c r="D239" s="80">
        <v>25000000</v>
      </c>
      <c r="E239" s="80">
        <v>25000000</v>
      </c>
      <c r="F239" s="725">
        <v>0</v>
      </c>
      <c r="G239" s="165">
        <v>0</v>
      </c>
      <c r="H239" s="709">
        <v>18750000</v>
      </c>
      <c r="I239" s="300">
        <f>H239/E239*100</f>
        <v>75</v>
      </c>
      <c r="J239" s="197">
        <f>H239</f>
        <v>18750000</v>
      </c>
      <c r="K239" s="314">
        <f t="shared" ref="K239" si="88">J239/D239*100</f>
        <v>75</v>
      </c>
      <c r="L239" s="331">
        <f>12/12</f>
        <v>1</v>
      </c>
      <c r="M239" s="314">
        <f>K239</f>
        <v>75</v>
      </c>
      <c r="N239" s="165"/>
    </row>
    <row r="240" spans="1:14">
      <c r="A240" s="63"/>
      <c r="B240" s="96"/>
      <c r="C240" s="65" t="s">
        <v>45</v>
      </c>
      <c r="D240" s="66">
        <f>SUM(D239:D239)</f>
        <v>25000000</v>
      </c>
      <c r="E240" s="66">
        <f>SUM(E239:E239)</f>
        <v>25000000</v>
      </c>
      <c r="F240" s="722">
        <f>SUM(F238:F238)</f>
        <v>0</v>
      </c>
      <c r="G240" s="137">
        <f>SUM(G238:G238)</f>
        <v>0</v>
      </c>
      <c r="H240" s="122">
        <f>SUM(H239)</f>
        <v>18750000</v>
      </c>
      <c r="I240" s="735">
        <f>H240/E240*100</f>
        <v>75</v>
      </c>
      <c r="J240" s="122">
        <f>SUM(J239)</f>
        <v>18750000</v>
      </c>
      <c r="K240" s="324">
        <f>SUM(K239)</f>
        <v>75</v>
      </c>
      <c r="L240" s="333">
        <f>SUM(L239)</f>
        <v>1</v>
      </c>
      <c r="M240" s="340">
        <f>K240</f>
        <v>75</v>
      </c>
      <c r="N240" s="137"/>
    </row>
    <row r="241" spans="1:14">
      <c r="A241" s="44">
        <v>19</v>
      </c>
      <c r="B241" s="826" t="s">
        <v>57</v>
      </c>
      <c r="C241" s="827"/>
      <c r="D241" s="57"/>
      <c r="E241" s="57"/>
      <c r="F241" s="719"/>
      <c r="G241" s="131"/>
      <c r="H241" s="119"/>
      <c r="I241" s="152"/>
      <c r="J241" s="119"/>
      <c r="K241" s="152"/>
      <c r="L241" s="152"/>
      <c r="M241" s="152"/>
      <c r="N241" s="131"/>
    </row>
    <row r="242" spans="1:14">
      <c r="A242" s="44"/>
      <c r="B242" s="47" t="s">
        <v>26</v>
      </c>
      <c r="C242" s="48" t="s">
        <v>58</v>
      </c>
      <c r="D242" s="60">
        <v>15000000</v>
      </c>
      <c r="E242" s="60">
        <v>15000000</v>
      </c>
      <c r="F242" s="721">
        <v>0</v>
      </c>
      <c r="G242" s="132">
        <v>0</v>
      </c>
      <c r="H242" s="197">
        <v>15000000</v>
      </c>
      <c r="I242" s="300">
        <f>H242/E242*100</f>
        <v>100</v>
      </c>
      <c r="J242" s="197">
        <f>H242</f>
        <v>15000000</v>
      </c>
      <c r="K242" s="301">
        <f>J242/D242*100</f>
        <v>100</v>
      </c>
      <c r="L242" s="331">
        <f>12/12</f>
        <v>1</v>
      </c>
      <c r="M242" s="311">
        <f>K242</f>
        <v>100</v>
      </c>
      <c r="N242" s="132"/>
    </row>
    <row r="243" spans="1:14">
      <c r="A243" s="183"/>
      <c r="B243" s="64"/>
      <c r="C243" s="65" t="s">
        <v>45</v>
      </c>
      <c r="D243" s="66">
        <f>SUM(D242)</f>
        <v>15000000</v>
      </c>
      <c r="E243" s="66">
        <f>SUM(E242)</f>
        <v>15000000</v>
      </c>
      <c r="F243" s="722">
        <f>SUM(F240:F240)</f>
        <v>0</v>
      </c>
      <c r="G243" s="66">
        <f>SUM(G240:G240)</f>
        <v>0</v>
      </c>
      <c r="H243" s="122">
        <f>H242</f>
        <v>15000000</v>
      </c>
      <c r="I243" s="735">
        <f>H243/E243*100</f>
        <v>100</v>
      </c>
      <c r="J243" s="122">
        <f>J242</f>
        <v>15000000</v>
      </c>
      <c r="K243" s="324">
        <f>J243/D243*100</f>
        <v>100</v>
      </c>
      <c r="L243" s="333">
        <f>SUM(L242)</f>
        <v>1</v>
      </c>
      <c r="M243" s="302">
        <f>SUM(M242)</f>
        <v>100</v>
      </c>
      <c r="N243" s="66"/>
    </row>
    <row r="244" spans="1:14">
      <c r="A244" s="44">
        <v>32</v>
      </c>
      <c r="B244" s="97" t="s">
        <v>59</v>
      </c>
      <c r="C244" s="98"/>
      <c r="D244" s="57"/>
      <c r="E244" s="57"/>
      <c r="F244" s="719"/>
      <c r="G244" s="131"/>
      <c r="H244" s="119"/>
      <c r="I244" s="152"/>
      <c r="J244" s="119"/>
      <c r="K244" s="152"/>
      <c r="L244" s="152"/>
      <c r="M244" s="152"/>
      <c r="N244" s="131"/>
    </row>
    <row r="245" spans="1:14">
      <c r="A245" s="44"/>
      <c r="B245" s="47" t="s">
        <v>26</v>
      </c>
      <c r="C245" s="58" t="s">
        <v>60</v>
      </c>
      <c r="D245" s="60">
        <v>15000000</v>
      </c>
      <c r="E245" s="60">
        <v>15000000</v>
      </c>
      <c r="F245" s="721">
        <v>0</v>
      </c>
      <c r="G245" s="132">
        <v>0</v>
      </c>
      <c r="H245" s="706">
        <f>750000+225000+ 1500000+750000+7500000+3525000</f>
        <v>14250000</v>
      </c>
      <c r="I245" s="300">
        <f>H245/E245*100</f>
        <v>95</v>
      </c>
      <c r="J245" s="192">
        <f>H245</f>
        <v>14250000</v>
      </c>
      <c r="K245" s="301">
        <f>J245/D245*100</f>
        <v>95</v>
      </c>
      <c r="L245" s="331">
        <f>12/12</f>
        <v>1</v>
      </c>
      <c r="M245" s="311">
        <f>K245</f>
        <v>95</v>
      </c>
      <c r="N245" s="132"/>
    </row>
    <row r="246" spans="1:14">
      <c r="A246" s="63"/>
      <c r="B246" s="64"/>
      <c r="C246" s="65" t="s">
        <v>45</v>
      </c>
      <c r="D246" s="66">
        <f>SUM(D245)</f>
        <v>15000000</v>
      </c>
      <c r="E246" s="66">
        <f>SUM(E245)</f>
        <v>15000000</v>
      </c>
      <c r="F246" s="722">
        <f>SUM(F245:F245)</f>
        <v>0</v>
      </c>
      <c r="G246" s="66">
        <f>SUM(G245:G245)</f>
        <v>0</v>
      </c>
      <c r="H246" s="122">
        <f>H245</f>
        <v>14250000</v>
      </c>
      <c r="I246" s="735">
        <f>H246/E246*100</f>
        <v>95</v>
      </c>
      <c r="J246" s="122">
        <f>J245</f>
        <v>14250000</v>
      </c>
      <c r="K246" s="302">
        <f>J246/D246*100</f>
        <v>95</v>
      </c>
      <c r="L246" s="333">
        <f>SUM(L245:L245)</f>
        <v>1</v>
      </c>
      <c r="M246" s="302">
        <f>SUM(M245:M245)</f>
        <v>95</v>
      </c>
      <c r="N246" s="66"/>
    </row>
    <row r="247" spans="1:14">
      <c r="A247" s="99">
        <v>15</v>
      </c>
      <c r="B247" s="100" t="s">
        <v>77</v>
      </c>
      <c r="C247" s="737"/>
      <c r="D247" s="70"/>
      <c r="E247" s="70"/>
      <c r="F247" s="723"/>
      <c r="G247" s="134"/>
      <c r="H247" s="123"/>
      <c r="I247" s="156"/>
      <c r="J247" s="123"/>
      <c r="K247" s="144"/>
      <c r="L247" s="156"/>
      <c r="M247" s="156"/>
      <c r="N247" s="134"/>
    </row>
    <row r="248" spans="1:14">
      <c r="A248" s="84"/>
      <c r="B248" s="101" t="s">
        <v>78</v>
      </c>
      <c r="C248" s="48"/>
      <c r="D248" s="102"/>
      <c r="E248" s="102"/>
      <c r="F248" s="719"/>
      <c r="G248" s="131"/>
      <c r="H248" s="119"/>
      <c r="I248" s="152"/>
      <c r="J248" s="119"/>
      <c r="K248" s="59"/>
      <c r="L248" s="152"/>
      <c r="M248" s="152"/>
      <c r="N248" s="131"/>
    </row>
    <row r="249" spans="1:14">
      <c r="A249" s="44"/>
      <c r="B249" s="47" t="s">
        <v>26</v>
      </c>
      <c r="C249" s="48" t="s">
        <v>79</v>
      </c>
      <c r="D249" s="60">
        <v>5000000</v>
      </c>
      <c r="E249" s="60">
        <v>5000000</v>
      </c>
      <c r="F249" s="721">
        <v>0</v>
      </c>
      <c r="G249" s="132">
        <v>0</v>
      </c>
      <c r="H249" s="199">
        <v>5000000</v>
      </c>
      <c r="I249" s="299">
        <f>H249/E249*100</f>
        <v>100</v>
      </c>
      <c r="J249" s="199">
        <f>H249</f>
        <v>5000000</v>
      </c>
      <c r="K249" s="301">
        <f>J249/D249*100</f>
        <v>100</v>
      </c>
      <c r="L249" s="331">
        <f>12/12</f>
        <v>1</v>
      </c>
      <c r="M249" s="301">
        <f>K249</f>
        <v>100</v>
      </c>
      <c r="N249" s="132"/>
    </row>
    <row r="250" spans="1:14">
      <c r="A250" s="89"/>
      <c r="B250" s="61" t="s">
        <v>80</v>
      </c>
      <c r="C250" s="103" t="s">
        <v>104</v>
      </c>
      <c r="D250" s="91">
        <v>15000000</v>
      </c>
      <c r="E250" s="91">
        <v>15000000</v>
      </c>
      <c r="F250" s="127">
        <v>0</v>
      </c>
      <c r="G250" s="138">
        <v>0</v>
      </c>
      <c r="H250" s="197">
        <v>15000000</v>
      </c>
      <c r="I250" s="300">
        <f>H250/E250*100</f>
        <v>100</v>
      </c>
      <c r="J250" s="197">
        <f>H250</f>
        <v>15000000</v>
      </c>
      <c r="K250" s="301">
        <f>J250/D250*100</f>
        <v>100</v>
      </c>
      <c r="L250" s="331">
        <f>12/12</f>
        <v>1</v>
      </c>
      <c r="M250" s="301">
        <f>K250</f>
        <v>100</v>
      </c>
      <c r="N250" s="136"/>
    </row>
    <row r="251" spans="1:14">
      <c r="A251" s="93"/>
      <c r="B251" s="83"/>
      <c r="C251" s="65" t="s">
        <v>45</v>
      </c>
      <c r="D251" s="66">
        <f>SUM(D249:D250)</f>
        <v>20000000</v>
      </c>
      <c r="E251" s="66">
        <f>SUM(E249:E250)</f>
        <v>20000000</v>
      </c>
      <c r="F251" s="720">
        <f>SUM(F249:F250)</f>
        <v>0</v>
      </c>
      <c r="G251" s="66">
        <f t="shared" ref="G251" si="89">SUM(G249:G250)</f>
        <v>0</v>
      </c>
      <c r="H251" s="122">
        <f>SUM(H249:H250)</f>
        <v>20000000</v>
      </c>
      <c r="I251" s="735">
        <f>H251/E251*100</f>
        <v>100</v>
      </c>
      <c r="J251" s="537">
        <f>SUM(J249:J250)</f>
        <v>20000000</v>
      </c>
      <c r="K251" s="302">
        <f>J251/D251*100</f>
        <v>100</v>
      </c>
      <c r="L251" s="356">
        <f>L250</f>
        <v>1</v>
      </c>
      <c r="M251" s="302">
        <f>M250</f>
        <v>100</v>
      </c>
      <c r="N251" s="66"/>
    </row>
    <row r="252" spans="1:14">
      <c r="A252" s="84">
        <v>18</v>
      </c>
      <c r="B252" s="75" t="s">
        <v>82</v>
      </c>
      <c r="C252" s="76"/>
      <c r="D252" s="57"/>
      <c r="E252" s="57"/>
      <c r="F252" s="719"/>
      <c r="G252" s="131"/>
      <c r="H252" s="119"/>
      <c r="I252" s="152"/>
      <c r="J252" s="119"/>
      <c r="K252" s="152"/>
      <c r="L252" s="152"/>
      <c r="M252" s="152"/>
      <c r="N252" s="131"/>
    </row>
    <row r="253" spans="1:14" ht="26.25">
      <c r="A253" s="84"/>
      <c r="B253" s="94" t="s">
        <v>29</v>
      </c>
      <c r="C253" s="48" t="s">
        <v>92</v>
      </c>
      <c r="D253" s="60">
        <v>7500000</v>
      </c>
      <c r="E253" s="60">
        <v>7500000</v>
      </c>
      <c r="F253" s="721">
        <v>0</v>
      </c>
      <c r="G253" s="132">
        <v>0</v>
      </c>
      <c r="H253" s="199">
        <v>7500000</v>
      </c>
      <c r="I253" s="299">
        <f>H253/E253*100</f>
        <v>100</v>
      </c>
      <c r="J253" s="192">
        <f>H253</f>
        <v>7500000</v>
      </c>
      <c r="K253" s="301">
        <f>J253/D253*100</f>
        <v>100</v>
      </c>
      <c r="L253" s="331">
        <f>12/12</f>
        <v>1</v>
      </c>
      <c r="M253" s="311">
        <f>K253</f>
        <v>100</v>
      </c>
      <c r="N253" s="131"/>
    </row>
    <row r="254" spans="1:14" ht="26.25">
      <c r="A254" s="84"/>
      <c r="B254" s="94" t="s">
        <v>83</v>
      </c>
      <c r="C254" s="48" t="s">
        <v>93</v>
      </c>
      <c r="D254" s="62">
        <v>10000000</v>
      </c>
      <c r="E254" s="62">
        <v>10000000</v>
      </c>
      <c r="F254" s="726">
        <v>0</v>
      </c>
      <c r="G254" s="133">
        <v>0</v>
      </c>
      <c r="H254" s="200">
        <v>10000000</v>
      </c>
      <c r="I254" s="300">
        <f>H254/E254*100</f>
        <v>100</v>
      </c>
      <c r="J254" s="200">
        <f>H254</f>
        <v>10000000</v>
      </c>
      <c r="K254" s="301">
        <f>J254/D254*100</f>
        <v>100</v>
      </c>
      <c r="L254" s="331">
        <f>12/12</f>
        <v>1</v>
      </c>
      <c r="M254" s="311">
        <f>K254</f>
        <v>100</v>
      </c>
      <c r="N254" s="131"/>
    </row>
    <row r="255" spans="1:14">
      <c r="A255" s="93"/>
      <c r="B255" s="64"/>
      <c r="C255" s="65" t="s">
        <v>45</v>
      </c>
      <c r="D255" s="66">
        <f>SUM(D253:D254)</f>
        <v>17500000</v>
      </c>
      <c r="E255" s="66">
        <f>SUM(E253:E254)</f>
        <v>17500000</v>
      </c>
      <c r="F255" s="720">
        <f t="shared" ref="F255:G255" si="90">SUM(F253:F254)</f>
        <v>0</v>
      </c>
      <c r="G255" s="66">
        <f t="shared" si="90"/>
        <v>0</v>
      </c>
      <c r="H255" s="122">
        <f>SUM(H253:H254)</f>
        <v>17500000</v>
      </c>
      <c r="I255" s="735">
        <f>H255/E255*100</f>
        <v>100</v>
      </c>
      <c r="J255" s="122">
        <f t="shared" ref="J255" si="91">SUM(J253:J254)</f>
        <v>17500000</v>
      </c>
      <c r="K255" s="302">
        <f>J255/D255*100</f>
        <v>100</v>
      </c>
      <c r="L255" s="356">
        <f>L254</f>
        <v>1</v>
      </c>
      <c r="M255" s="302">
        <f>SUM(M254:M254)</f>
        <v>100</v>
      </c>
      <c r="N255" s="66"/>
    </row>
    <row r="256" spans="1:14">
      <c r="A256" s="99">
        <v>26</v>
      </c>
      <c r="B256" s="104" t="s">
        <v>105</v>
      </c>
      <c r="C256" s="105"/>
      <c r="D256" s="57"/>
      <c r="E256" s="57"/>
      <c r="F256" s="719"/>
      <c r="G256" s="131"/>
      <c r="H256" s="119"/>
      <c r="I256" s="152"/>
      <c r="J256" s="119"/>
      <c r="K256" s="152"/>
      <c r="L256" s="152"/>
      <c r="M256" s="152"/>
      <c r="N256" s="131"/>
    </row>
    <row r="257" spans="1:14">
      <c r="A257" s="44"/>
      <c r="B257" s="47" t="s">
        <v>84</v>
      </c>
      <c r="C257" s="48" t="s">
        <v>106</v>
      </c>
      <c r="D257" s="60">
        <v>5000000</v>
      </c>
      <c r="E257" s="60">
        <v>5000000</v>
      </c>
      <c r="F257" s="721" t="s">
        <v>132</v>
      </c>
      <c r="G257" s="132">
        <v>0</v>
      </c>
      <c r="H257" s="120">
        <v>5000000</v>
      </c>
      <c r="I257" s="300">
        <f>H257/E257*100</f>
        <v>100</v>
      </c>
      <c r="J257" s="192">
        <f>H257</f>
        <v>5000000</v>
      </c>
      <c r="K257" s="301">
        <f>J257/D257*100</f>
        <v>100</v>
      </c>
      <c r="L257" s="331">
        <f>12/12</f>
        <v>1</v>
      </c>
      <c r="M257" s="301">
        <f>K257</f>
        <v>100</v>
      </c>
      <c r="N257" s="132"/>
    </row>
    <row r="258" spans="1:14">
      <c r="A258" s="63"/>
      <c r="B258" s="64"/>
      <c r="C258" s="65" t="s">
        <v>45</v>
      </c>
      <c r="D258" s="66">
        <f>SUM(D257)</f>
        <v>5000000</v>
      </c>
      <c r="E258" s="66">
        <f>SUM(E257)</f>
        <v>5000000</v>
      </c>
      <c r="F258" s="720">
        <v>0</v>
      </c>
      <c r="G258" s="66">
        <f t="shared" ref="G258" si="92">SUM(G255:G257)</f>
        <v>0</v>
      </c>
      <c r="H258" s="122">
        <f>SUM(H257)</f>
        <v>5000000</v>
      </c>
      <c r="I258" s="735">
        <f t="shared" ref="I258" si="93">H258/E258*100</f>
        <v>100</v>
      </c>
      <c r="J258" s="122">
        <f>SUM(J257)</f>
        <v>5000000</v>
      </c>
      <c r="K258" s="302">
        <f>J258/D258*100</f>
        <v>100</v>
      </c>
      <c r="L258" s="356">
        <f>L257</f>
        <v>1</v>
      </c>
      <c r="M258" s="302">
        <f>SUM(M257)</f>
        <v>100</v>
      </c>
      <c r="N258" s="66"/>
    </row>
    <row r="259" spans="1:14">
      <c r="A259" s="99">
        <v>16</v>
      </c>
      <c r="B259" s="104" t="s">
        <v>123</v>
      </c>
      <c r="C259" s="105"/>
      <c r="D259" s="57"/>
      <c r="E259" s="57"/>
      <c r="F259" s="719"/>
      <c r="G259" s="131"/>
      <c r="H259" s="119"/>
      <c r="I259" s="152"/>
      <c r="J259" s="119"/>
      <c r="K259" s="152"/>
      <c r="L259" s="152"/>
      <c r="M259" s="152"/>
      <c r="N259" s="131"/>
    </row>
    <row r="260" spans="1:14">
      <c r="A260" s="84"/>
      <c r="B260" s="185" t="s">
        <v>124</v>
      </c>
      <c r="C260" s="186"/>
      <c r="D260" s="182"/>
      <c r="E260" s="182"/>
      <c r="F260" s="124"/>
      <c r="G260" s="131"/>
      <c r="H260" s="131"/>
      <c r="I260" s="152"/>
      <c r="J260" s="131"/>
      <c r="K260" s="152"/>
      <c r="L260" s="152"/>
      <c r="M260" s="152"/>
      <c r="N260" s="152"/>
    </row>
    <row r="261" spans="1:14" ht="26.25">
      <c r="A261" s="44"/>
      <c r="B261" s="282" t="s">
        <v>46</v>
      </c>
      <c r="C261" s="50" t="s">
        <v>217</v>
      </c>
      <c r="D261" s="60">
        <v>27000000</v>
      </c>
      <c r="E261" s="60">
        <v>-27000000</v>
      </c>
      <c r="F261" s="125">
        <v>0</v>
      </c>
      <c r="G261" s="135">
        <v>0</v>
      </c>
      <c r="H261" s="124">
        <v>0</v>
      </c>
      <c r="I261" s="59" t="s">
        <v>132</v>
      </c>
      <c r="J261" s="124">
        <v>0</v>
      </c>
      <c r="K261" s="59" t="s">
        <v>132</v>
      </c>
      <c r="L261" s="59">
        <v>0</v>
      </c>
      <c r="M261" s="59">
        <v>0</v>
      </c>
      <c r="N261" s="59"/>
    </row>
    <row r="262" spans="1:14">
      <c r="A262" s="44"/>
      <c r="B262" s="163" t="s">
        <v>111</v>
      </c>
      <c r="C262" s="204" t="s">
        <v>81</v>
      </c>
      <c r="D262" s="205">
        <v>3000000</v>
      </c>
      <c r="E262" s="205">
        <v>3000000</v>
      </c>
      <c r="F262" s="125">
        <v>0</v>
      </c>
      <c r="G262" s="135">
        <v>0</v>
      </c>
      <c r="H262" s="707">
        <v>3000000</v>
      </c>
      <c r="I262" s="300">
        <f t="shared" ref="I262:I263" si="94">H262/E262*100</f>
        <v>100</v>
      </c>
      <c r="J262" s="201">
        <f>H262</f>
        <v>3000000</v>
      </c>
      <c r="K262" s="301">
        <f>J262/D262*100</f>
        <v>100</v>
      </c>
      <c r="L262" s="331">
        <f>12/12</f>
        <v>1</v>
      </c>
      <c r="M262" s="301">
        <f>K262</f>
        <v>100</v>
      </c>
      <c r="N262" s="188"/>
    </row>
    <row r="263" spans="1:14">
      <c r="A263" s="63"/>
      <c r="B263" s="64"/>
      <c r="C263" s="65" t="s">
        <v>45</v>
      </c>
      <c r="D263" s="66">
        <f>SUM(D261:D262)</f>
        <v>30000000</v>
      </c>
      <c r="E263" s="66">
        <f>E262</f>
        <v>3000000</v>
      </c>
      <c r="F263" s="720">
        <f>SUM(F261:F262)</f>
        <v>0</v>
      </c>
      <c r="G263" s="66">
        <f>SUM(G261:G262)</f>
        <v>0</v>
      </c>
      <c r="H263" s="122">
        <f>SUM(H262)</f>
        <v>3000000</v>
      </c>
      <c r="I263" s="735">
        <f t="shared" si="94"/>
        <v>100</v>
      </c>
      <c r="J263" s="122">
        <f>SUM(J261:J262)</f>
        <v>3000000</v>
      </c>
      <c r="K263" s="302">
        <f>J263/D263*100</f>
        <v>10</v>
      </c>
      <c r="L263" s="356">
        <f>L262</f>
        <v>1</v>
      </c>
      <c r="M263" s="302">
        <f>SUM(M261:M262)</f>
        <v>100</v>
      </c>
      <c r="N263" s="66"/>
    </row>
    <row r="264" spans="1:14">
      <c r="A264" s="99">
        <v>17</v>
      </c>
      <c r="B264" s="104" t="s">
        <v>127</v>
      </c>
      <c r="C264" s="105"/>
      <c r="D264" s="57"/>
      <c r="E264" s="57"/>
      <c r="F264" s="719"/>
      <c r="G264" s="131"/>
      <c r="H264" s="119"/>
      <c r="I264" s="152"/>
      <c r="J264" s="119"/>
      <c r="K264" s="152"/>
      <c r="L264" s="152"/>
      <c r="M264" s="152"/>
      <c r="N264" s="131"/>
    </row>
    <row r="265" spans="1:14" ht="26.25">
      <c r="A265" s="44"/>
      <c r="B265" s="47" t="s">
        <v>84</v>
      </c>
      <c r="C265" s="48" t="s">
        <v>128</v>
      </c>
      <c r="D265" s="60">
        <v>10000000</v>
      </c>
      <c r="E265" s="60">
        <v>-10000000</v>
      </c>
      <c r="F265" s="721">
        <v>0</v>
      </c>
      <c r="G265" s="132">
        <v>0</v>
      </c>
      <c r="H265" s="120" t="s">
        <v>132</v>
      </c>
      <c r="I265" s="59" t="s">
        <v>132</v>
      </c>
      <c r="J265" s="120">
        <v>0</v>
      </c>
      <c r="K265" s="59" t="s">
        <v>132</v>
      </c>
      <c r="L265" s="157">
        <v>0</v>
      </c>
      <c r="M265" s="59">
        <v>0</v>
      </c>
      <c r="N265" s="132"/>
    </row>
    <row r="266" spans="1:14">
      <c r="A266" s="63"/>
      <c r="B266" s="64"/>
      <c r="C266" s="65" t="s">
        <v>45</v>
      </c>
      <c r="D266" s="66">
        <f>SUM(D265)</f>
        <v>10000000</v>
      </c>
      <c r="E266" s="66">
        <v>0</v>
      </c>
      <c r="F266" s="720">
        <f t="shared" ref="F266:G266" si="95">SUM(F263:F265)</f>
        <v>0</v>
      </c>
      <c r="G266" s="66">
        <f t="shared" si="95"/>
        <v>0</v>
      </c>
      <c r="H266" s="122" t="s">
        <v>132</v>
      </c>
      <c r="I266" s="66" t="s">
        <v>132</v>
      </c>
      <c r="J266" s="122" t="s">
        <v>132</v>
      </c>
      <c r="K266" s="66" t="s">
        <v>132</v>
      </c>
      <c r="L266" s="66">
        <f>SUM(L265)</f>
        <v>0</v>
      </c>
      <c r="M266" s="66">
        <v>0</v>
      </c>
      <c r="N266" s="66"/>
    </row>
    <row r="267" spans="1:14">
      <c r="A267" s="44">
        <v>18</v>
      </c>
      <c r="B267" s="104" t="s">
        <v>218</v>
      </c>
      <c r="C267" s="105"/>
      <c r="D267" s="70"/>
      <c r="E267" s="70"/>
      <c r="F267" s="727"/>
      <c r="G267" s="70"/>
      <c r="H267" s="287"/>
      <c r="I267" s="70"/>
      <c r="J267" s="287"/>
      <c r="K267" s="70"/>
      <c r="L267" s="70"/>
      <c r="M267" s="70"/>
      <c r="N267" s="70"/>
    </row>
    <row r="268" spans="1:14" ht="25.5">
      <c r="A268" s="44"/>
      <c r="B268" s="283" t="s">
        <v>83</v>
      </c>
      <c r="C268" s="284" t="s">
        <v>219</v>
      </c>
      <c r="D268" s="288">
        <v>50000000</v>
      </c>
      <c r="E268" s="288">
        <v>16200000</v>
      </c>
      <c r="F268" s="728">
        <v>0</v>
      </c>
      <c r="G268" s="285">
        <v>0</v>
      </c>
      <c r="H268" s="286">
        <v>16200000</v>
      </c>
      <c r="I268" s="300">
        <f t="shared" ref="I268:I269" si="96">H268/E268*100</f>
        <v>100</v>
      </c>
      <c r="J268" s="286">
        <f>H268</f>
        <v>16200000</v>
      </c>
      <c r="K268" s="301">
        <f>J268/D268*100</f>
        <v>32.4</v>
      </c>
      <c r="L268" s="331">
        <f>12/12</f>
        <v>1</v>
      </c>
      <c r="M268" s="301">
        <f>K268</f>
        <v>32.4</v>
      </c>
      <c r="N268" s="285"/>
    </row>
    <row r="269" spans="1:14">
      <c r="A269" s="63"/>
      <c r="B269" s="64"/>
      <c r="C269" s="65" t="s">
        <v>45</v>
      </c>
      <c r="D269" s="66">
        <f>SUM(D268)</f>
        <v>50000000</v>
      </c>
      <c r="E269" s="66">
        <f>SUM(E268)</f>
        <v>16200000</v>
      </c>
      <c r="F269" s="720">
        <v>0</v>
      </c>
      <c r="G269" s="66">
        <v>0</v>
      </c>
      <c r="H269" s="122">
        <f>SUM(H268)</f>
        <v>16200000</v>
      </c>
      <c r="I269" s="735">
        <f t="shared" si="96"/>
        <v>100</v>
      </c>
      <c r="J269" s="122">
        <f>SUM(J268)</f>
        <v>16200000</v>
      </c>
      <c r="K269" s="302">
        <f>J269/D269*100</f>
        <v>32.4</v>
      </c>
      <c r="L269" s="356">
        <f>L268</f>
        <v>1</v>
      </c>
      <c r="M269" s="66">
        <v>0</v>
      </c>
      <c r="N269" s="66"/>
    </row>
    <row r="270" spans="1:14">
      <c r="A270" s="44">
        <v>24</v>
      </c>
      <c r="B270" s="104" t="s">
        <v>221</v>
      </c>
      <c r="C270" s="105"/>
      <c r="D270" s="70"/>
      <c r="E270" s="70"/>
      <c r="F270" s="727"/>
      <c r="G270" s="70"/>
      <c r="H270" s="287"/>
      <c r="I270" s="70"/>
      <c r="J270" s="287"/>
      <c r="K270" s="70"/>
      <c r="L270" s="70"/>
      <c r="M270" s="70"/>
      <c r="N270" s="70"/>
    </row>
    <row r="271" spans="1:14">
      <c r="A271" s="44"/>
      <c r="B271" s="283" t="s">
        <v>83</v>
      </c>
      <c r="C271" s="284" t="s">
        <v>222</v>
      </c>
      <c r="D271" s="288">
        <v>50000000</v>
      </c>
      <c r="E271" s="288">
        <v>51500000</v>
      </c>
      <c r="F271" s="728">
        <v>0</v>
      </c>
      <c r="G271" s="285">
        <v>0</v>
      </c>
      <c r="H271" s="286">
        <v>0</v>
      </c>
      <c r="I271" s="285">
        <v>0</v>
      </c>
      <c r="J271" s="286">
        <v>0</v>
      </c>
      <c r="K271" s="285">
        <v>0</v>
      </c>
      <c r="L271" s="157">
        <v>0</v>
      </c>
      <c r="M271" s="285">
        <v>0</v>
      </c>
      <c r="N271" s="285"/>
    </row>
    <row r="272" spans="1:14">
      <c r="A272" s="63"/>
      <c r="B272" s="64"/>
      <c r="C272" s="65" t="s">
        <v>45</v>
      </c>
      <c r="D272" s="66">
        <f>SUM(D271)</f>
        <v>50000000</v>
      </c>
      <c r="E272" s="66">
        <f>SUM(E271)</f>
        <v>51500000</v>
      </c>
      <c r="F272" s="66">
        <v>0</v>
      </c>
      <c r="G272" s="66">
        <v>0</v>
      </c>
      <c r="H272" s="122">
        <v>0</v>
      </c>
      <c r="I272" s="66">
        <v>0</v>
      </c>
      <c r="J272" s="122">
        <v>0</v>
      </c>
      <c r="K272" s="66">
        <v>0</v>
      </c>
      <c r="L272" s="66">
        <f>SUM(L271)</f>
        <v>0</v>
      </c>
      <c r="M272" s="66">
        <v>0</v>
      </c>
      <c r="N272" s="66"/>
    </row>
    <row r="273" spans="1:14" ht="15.75" thickBot="1">
      <c r="A273" s="166"/>
      <c r="B273" s="167" t="s">
        <v>85</v>
      </c>
      <c r="C273" s="106"/>
      <c r="D273" s="107">
        <f>D167+D164</f>
        <v>3251325000</v>
      </c>
      <c r="E273" s="107">
        <f>E167+E164</f>
        <v>3077095040</v>
      </c>
      <c r="F273" s="107">
        <f>F167+F164</f>
        <v>0</v>
      </c>
      <c r="G273" s="107">
        <f>G167+G164</f>
        <v>0</v>
      </c>
      <c r="H273" s="107">
        <f>H164+H167</f>
        <v>2361224490</v>
      </c>
      <c r="I273" s="736">
        <f t="shared" ref="I273" si="97">H273/E273*100</f>
        <v>76.735507330966286</v>
      </c>
      <c r="J273" s="107">
        <f>J167+J164</f>
        <v>2361224490</v>
      </c>
      <c r="K273" s="213">
        <f>J273/E273*100</f>
        <v>76.735507330966286</v>
      </c>
      <c r="L273" s="674">
        <f>11/12</f>
        <v>0.91666666666666663</v>
      </c>
      <c r="M273" s="213">
        <f>K273</f>
        <v>76.735507330966286</v>
      </c>
      <c r="N273" s="158"/>
    </row>
    <row r="274" spans="1:14" ht="15.75" thickTop="1">
      <c r="A274" s="342"/>
      <c r="B274" s="343"/>
      <c r="C274" s="344"/>
      <c r="D274" s="345"/>
      <c r="E274" s="345"/>
      <c r="F274" s="345"/>
      <c r="G274" s="345"/>
      <c r="H274" s="711"/>
      <c r="I274" s="529"/>
      <c r="J274" s="345"/>
      <c r="K274" s="346"/>
      <c r="L274" s="347"/>
      <c r="M274" s="346"/>
      <c r="N274" s="348"/>
    </row>
    <row r="275" spans="1:14">
      <c r="A275" s="168"/>
      <c r="B275" s="169"/>
      <c r="C275" s="170"/>
      <c r="D275" s="171"/>
      <c r="E275" s="171"/>
      <c r="F275" s="108"/>
      <c r="H275" s="710"/>
      <c r="I275" s="128"/>
      <c r="J275" s="159" t="s">
        <v>551</v>
      </c>
      <c r="K275" s="128"/>
      <c r="M275" s="128"/>
      <c r="N275" s="128"/>
    </row>
    <row r="276" spans="1:14">
      <c r="A276" s="172"/>
      <c r="B276" s="169"/>
      <c r="C276" s="173"/>
      <c r="D276" s="171"/>
      <c r="E276" s="171"/>
      <c r="F276" s="174"/>
      <c r="I276" s="128"/>
      <c r="J276" s="159" t="s">
        <v>86</v>
      </c>
      <c r="K276" s="128"/>
      <c r="M276" s="128"/>
      <c r="N276" s="128"/>
    </row>
    <row r="277" spans="1:14">
      <c r="A277" s="172"/>
      <c r="B277" s="169"/>
      <c r="C277" s="173"/>
      <c r="D277" s="171"/>
      <c r="E277" s="171"/>
      <c r="F277" s="174"/>
      <c r="I277" s="128"/>
      <c r="J277" s="159"/>
      <c r="K277" s="128"/>
      <c r="M277" s="128"/>
      <c r="N277" s="128"/>
    </row>
    <row r="278" spans="1:14">
      <c r="A278" s="172"/>
      <c r="B278" s="169"/>
      <c r="C278" s="173"/>
      <c r="D278" s="171"/>
      <c r="E278" s="171"/>
      <c r="F278" s="108"/>
      <c r="I278" s="128"/>
      <c r="J278" s="159"/>
      <c r="K278" s="128"/>
      <c r="M278" s="128"/>
      <c r="N278" s="128"/>
    </row>
    <row r="279" spans="1:14">
      <c r="A279" s="175"/>
      <c r="B279" s="176"/>
      <c r="C279" s="177"/>
      <c r="D279" s="171"/>
      <c r="E279" s="171"/>
      <c r="F279" s="108"/>
      <c r="H279" s="128" t="s">
        <v>227</v>
      </c>
      <c r="I279" s="128"/>
      <c r="J279" s="160" t="s">
        <v>120</v>
      </c>
      <c r="K279" s="128"/>
      <c r="M279" s="128"/>
      <c r="N279" s="128"/>
    </row>
    <row r="280" spans="1:14">
      <c r="A280" s="175"/>
      <c r="B280" s="176"/>
      <c r="C280" s="177"/>
      <c r="D280" s="175"/>
      <c r="E280" s="175"/>
      <c r="F280" s="108"/>
      <c r="I280" s="128"/>
      <c r="J280" s="159" t="s">
        <v>491</v>
      </c>
      <c r="K280" s="128"/>
      <c r="M280" s="128"/>
      <c r="N280" s="128"/>
    </row>
    <row r="281" spans="1:14">
      <c r="A281" s="175"/>
      <c r="B281" s="176"/>
      <c r="C281" s="177"/>
      <c r="D281" s="175"/>
      <c r="E281" s="175"/>
      <c r="F281" s="108"/>
      <c r="I281" s="128"/>
      <c r="J281" s="159" t="s">
        <v>121</v>
      </c>
      <c r="K281" s="128"/>
      <c r="M281" s="128"/>
      <c r="N281" s="128"/>
    </row>
  </sheetData>
  <mergeCells count="42">
    <mergeCell ref="A1:N1"/>
    <mergeCell ref="A2:N2"/>
    <mergeCell ref="A6:A8"/>
    <mergeCell ref="B6:C8"/>
    <mergeCell ref="H6:K6"/>
    <mergeCell ref="L6:M6"/>
    <mergeCell ref="N6:N8"/>
    <mergeCell ref="I7:I8"/>
    <mergeCell ref="K7:K8"/>
    <mergeCell ref="B225:C225"/>
    <mergeCell ref="B228:C228"/>
    <mergeCell ref="K161:K162"/>
    <mergeCell ref="B87:C87"/>
    <mergeCell ref="B9:C9"/>
    <mergeCell ref="B54:C54"/>
    <mergeCell ref="B55:C55"/>
    <mergeCell ref="B60:C60"/>
    <mergeCell ref="B70:C70"/>
    <mergeCell ref="B71:C71"/>
    <mergeCell ref="B74:C74"/>
    <mergeCell ref="B77:C77"/>
    <mergeCell ref="B80:C80"/>
    <mergeCell ref="B83:C83"/>
    <mergeCell ref="C84:C85"/>
    <mergeCell ref="B163:C163"/>
    <mergeCell ref="B208:C208"/>
    <mergeCell ref="B209:C209"/>
    <mergeCell ref="B214:C214"/>
    <mergeCell ref="B224:C224"/>
    <mergeCell ref="A155:N155"/>
    <mergeCell ref="A156:N156"/>
    <mergeCell ref="A160:A162"/>
    <mergeCell ref="B160:C162"/>
    <mergeCell ref="H160:K160"/>
    <mergeCell ref="L160:M160"/>
    <mergeCell ref="N160:N162"/>
    <mergeCell ref="I161:I162"/>
    <mergeCell ref="B231:C231"/>
    <mergeCell ref="B234:C234"/>
    <mergeCell ref="B237:C237"/>
    <mergeCell ref="C238:C239"/>
    <mergeCell ref="B241:C241"/>
  </mergeCells>
  <pageMargins left="0.28000000000000003" right="0.70866141732283472" top="0.42" bottom="0.74803149606299213" header="0.31496062992125984" footer="0.31496062992125984"/>
  <pageSetup paperSize="5" scale="90" orientation="landscape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S127"/>
  <sheetViews>
    <sheetView topLeftCell="A7" workbookViewId="0">
      <selection activeCell="A6" sqref="A1:XFD1048576"/>
    </sheetView>
  </sheetViews>
  <sheetFormatPr defaultRowHeight="15"/>
  <cols>
    <col min="1" max="1" width="4.42578125" customWidth="1"/>
    <col min="2" max="2" width="3.85546875" customWidth="1"/>
    <col min="3" max="3" width="44.85546875" customWidth="1"/>
    <col min="4" max="4" width="12.28515625" style="128" customWidth="1"/>
    <col min="5" max="6" width="11.28515625" style="128" customWidth="1"/>
    <col min="7" max="7" width="13.140625" style="128" customWidth="1"/>
    <col min="8" max="8" width="6.85546875" customWidth="1"/>
    <col min="9" max="9" width="13.140625" customWidth="1"/>
    <col min="10" max="10" width="6.7109375" customWidth="1"/>
    <col min="11" max="11" width="14.140625" style="128" customWidth="1"/>
    <col min="12" max="12" width="10.85546875" customWidth="1"/>
    <col min="13" max="13" width="10.28515625" customWidth="1"/>
    <col min="14" max="14" width="14.28515625" style="161" bestFit="1" customWidth="1"/>
    <col min="15" max="15" width="16.85546875" style="544" bestFit="1" customWidth="1"/>
    <col min="16" max="16" width="15.140625" style="544" customWidth="1"/>
    <col min="17" max="17" width="13.28515625" customWidth="1"/>
    <col min="18" max="18" width="16.85546875" style="544" bestFit="1" customWidth="1"/>
  </cols>
  <sheetData>
    <row r="1" spans="1:16" ht="15.75">
      <c r="A1" s="832" t="s">
        <v>223</v>
      </c>
      <c r="B1" s="832"/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</row>
    <row r="2" spans="1:16" ht="15.75">
      <c r="A2" s="832" t="s">
        <v>224</v>
      </c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</row>
    <row r="3" spans="1:16" ht="15.75">
      <c r="A3" s="743"/>
      <c r="B3" s="743"/>
      <c r="C3" s="743"/>
      <c r="D3" s="743"/>
      <c r="E3" s="743"/>
      <c r="F3" s="743"/>
      <c r="G3" s="303"/>
      <c r="H3" s="743"/>
      <c r="I3" s="743"/>
      <c r="J3" s="743"/>
      <c r="K3" s="303"/>
      <c r="L3" s="743"/>
      <c r="M3" s="743"/>
    </row>
    <row r="4" spans="1:16" ht="16.5">
      <c r="A4" s="1" t="s">
        <v>213</v>
      </c>
      <c r="B4" s="2"/>
      <c r="C4" s="3" t="s">
        <v>2</v>
      </c>
      <c r="E4" s="108"/>
      <c r="G4" s="669"/>
      <c r="H4" s="4"/>
      <c r="I4" s="5"/>
      <c r="J4" s="4"/>
      <c r="M4" s="4"/>
    </row>
    <row r="5" spans="1:16" ht="17.25" thickBot="1">
      <c r="A5" s="14" t="s">
        <v>225</v>
      </c>
      <c r="B5" s="14"/>
      <c r="C5" s="292" t="s">
        <v>544</v>
      </c>
      <c r="D5" s="129"/>
      <c r="E5" s="109"/>
      <c r="F5" s="129"/>
      <c r="G5" s="305"/>
      <c r="H5" s="14"/>
      <c r="I5" s="16"/>
      <c r="J5" s="14"/>
      <c r="K5" s="129"/>
      <c r="L5" s="15"/>
      <c r="M5" s="14"/>
    </row>
    <row r="6" spans="1:16" ht="15.75" thickTop="1">
      <c r="A6" s="833" t="s">
        <v>3</v>
      </c>
      <c r="B6" s="836" t="s">
        <v>4</v>
      </c>
      <c r="C6" s="837"/>
      <c r="D6" s="289" t="s">
        <v>5</v>
      </c>
      <c r="E6" s="110" t="s">
        <v>6</v>
      </c>
      <c r="F6" s="130"/>
      <c r="G6" s="842" t="s">
        <v>7</v>
      </c>
      <c r="H6" s="843"/>
      <c r="I6" s="843"/>
      <c r="J6" s="843"/>
      <c r="K6" s="844" t="s">
        <v>8</v>
      </c>
      <c r="L6" s="844"/>
      <c r="M6" s="833" t="s">
        <v>9</v>
      </c>
    </row>
    <row r="7" spans="1:16">
      <c r="A7" s="834"/>
      <c r="B7" s="838"/>
      <c r="C7" s="839"/>
      <c r="D7" s="290" t="s">
        <v>10</v>
      </c>
      <c r="E7" s="111" t="s">
        <v>11</v>
      </c>
      <c r="F7" s="111" t="s">
        <v>12</v>
      </c>
      <c r="G7" s="111" t="s">
        <v>13</v>
      </c>
      <c r="H7" s="845" t="s">
        <v>14</v>
      </c>
      <c r="I7" s="6" t="s">
        <v>15</v>
      </c>
      <c r="J7" s="846" t="s">
        <v>14</v>
      </c>
      <c r="K7" s="321" t="s">
        <v>16</v>
      </c>
      <c r="L7" s="7" t="s">
        <v>17</v>
      </c>
      <c r="M7" s="834"/>
    </row>
    <row r="8" spans="1:16">
      <c r="A8" s="835"/>
      <c r="B8" s="840"/>
      <c r="C8" s="841"/>
      <c r="D8" s="291" t="s">
        <v>18</v>
      </c>
      <c r="E8" s="112" t="s">
        <v>18</v>
      </c>
      <c r="F8" s="112"/>
      <c r="G8" s="306" t="s">
        <v>19</v>
      </c>
      <c r="H8" s="835"/>
      <c r="I8" s="8" t="s">
        <v>19</v>
      </c>
      <c r="J8" s="847"/>
      <c r="K8" s="322" t="s">
        <v>233</v>
      </c>
      <c r="L8" s="9" t="s">
        <v>233</v>
      </c>
      <c r="M8" s="835"/>
    </row>
    <row r="9" spans="1:16" ht="15.75" thickBot="1">
      <c r="A9" s="17">
        <v>1</v>
      </c>
      <c r="B9" s="828">
        <v>2</v>
      </c>
      <c r="C9" s="829"/>
      <c r="D9" s="113">
        <v>3</v>
      </c>
      <c r="E9" s="113">
        <v>4</v>
      </c>
      <c r="F9" s="113">
        <v>5</v>
      </c>
      <c r="G9" s="113">
        <v>6</v>
      </c>
      <c r="H9" s="18">
        <v>7</v>
      </c>
      <c r="I9" s="18">
        <v>8</v>
      </c>
      <c r="J9" s="18">
        <v>9</v>
      </c>
      <c r="K9" s="113">
        <v>10</v>
      </c>
      <c r="L9" s="18">
        <v>11</v>
      </c>
      <c r="M9" s="18">
        <v>12</v>
      </c>
    </row>
    <row r="10" spans="1:16" ht="15.75" thickBot="1">
      <c r="A10" s="35" t="s">
        <v>20</v>
      </c>
      <c r="B10" s="36" t="s">
        <v>21</v>
      </c>
      <c r="C10" s="37"/>
      <c r="D10" s="30">
        <f>D11+D12</f>
        <v>2257113000</v>
      </c>
      <c r="E10" s="30">
        <f>E11</f>
        <v>0</v>
      </c>
      <c r="F10" s="30">
        <v>0</v>
      </c>
      <c r="G10" s="30">
        <f>G11+G12</f>
        <v>1605769813</v>
      </c>
      <c r="H10" s="214">
        <f>G10/D10*100</f>
        <v>71.142641640006502</v>
      </c>
      <c r="I10" s="30">
        <f>G10</f>
        <v>1605769813</v>
      </c>
      <c r="J10" s="217">
        <f>I10/D10*100</f>
        <v>71.142641640006502</v>
      </c>
      <c r="K10" s="332">
        <f>10/12</f>
        <v>0.83333333333333337</v>
      </c>
      <c r="L10" s="215">
        <f>J10</f>
        <v>71.142641640006502</v>
      </c>
      <c r="M10" s="53"/>
    </row>
    <row r="11" spans="1:16" ht="15.75" thickBot="1">
      <c r="A11" s="38" t="s">
        <v>22</v>
      </c>
      <c r="B11" s="39" t="s">
        <v>23</v>
      </c>
      <c r="C11" s="40"/>
      <c r="D11" s="31">
        <v>1872153000</v>
      </c>
      <c r="E11" s="114">
        <v>0</v>
      </c>
      <c r="F11" s="30">
        <v>0</v>
      </c>
      <c r="G11" s="30">
        <v>1311512995</v>
      </c>
      <c r="H11" s="214">
        <f>G11/D11*100</f>
        <v>70.053729315926631</v>
      </c>
      <c r="I11" s="296">
        <f>G11</f>
        <v>1311512995</v>
      </c>
      <c r="J11" s="217">
        <f>I11/D11*100</f>
        <v>70.053729315926631</v>
      </c>
      <c r="K11" s="332">
        <f>10/12</f>
        <v>0.83333333333333337</v>
      </c>
      <c r="L11" s="215">
        <f>J11</f>
        <v>70.053729315926631</v>
      </c>
      <c r="M11" s="146"/>
    </row>
    <row r="12" spans="1:16" ht="15.75" thickBot="1">
      <c r="A12" s="139"/>
      <c r="B12" s="140" t="s">
        <v>107</v>
      </c>
      <c r="C12" s="141"/>
      <c r="D12" s="31">
        <v>384960000</v>
      </c>
      <c r="E12" s="114">
        <v>0</v>
      </c>
      <c r="F12" s="30">
        <v>0</v>
      </c>
      <c r="G12" s="351">
        <v>294256818</v>
      </c>
      <c r="H12" s="214">
        <f>G12/D12*100</f>
        <v>76.438283977556111</v>
      </c>
      <c r="I12" s="296">
        <f>G12</f>
        <v>294256818</v>
      </c>
      <c r="J12" s="217">
        <f>I12/D12*100</f>
        <v>76.438283977556111</v>
      </c>
      <c r="K12" s="332">
        <f>10/12</f>
        <v>0.83333333333333337</v>
      </c>
      <c r="L12" s="215">
        <f>J12</f>
        <v>76.438283977556111</v>
      </c>
      <c r="M12" s="149"/>
      <c r="N12" s="161">
        <v>51150000</v>
      </c>
    </row>
    <row r="13" spans="1:16" ht="15.75" thickBot="1">
      <c r="A13" s="35" t="s">
        <v>24</v>
      </c>
      <c r="B13" s="36" t="s">
        <v>25</v>
      </c>
      <c r="C13" s="37"/>
      <c r="D13" s="30">
        <f>D30+D40+D43+D47+D50+D53+D59+D62+D66+D69+D73+D76+D79+D82+D86+D89+D92+D97+D101+D104+D109+D112+D115+D118</f>
        <v>994212000</v>
      </c>
      <c r="E13" s="30">
        <v>0</v>
      </c>
      <c r="F13" s="30">
        <v>0</v>
      </c>
      <c r="G13" s="30">
        <f>G30+G40+G69+G73+G89+G92+G79+G82+G86+G101+G53+G66+G97+G50+G47+G76+G62+G59+G104+G115+G109</f>
        <v>759696677</v>
      </c>
      <c r="H13" s="215">
        <f>G13/D13*100</f>
        <v>76.411940008770756</v>
      </c>
      <c r="I13" s="296">
        <f>G13</f>
        <v>759696677</v>
      </c>
      <c r="J13" s="217">
        <f>I13/D13*100</f>
        <v>76.411940008770756</v>
      </c>
      <c r="K13" s="332">
        <f>10/12</f>
        <v>0.83333333333333337</v>
      </c>
      <c r="L13" s="215">
        <f>J13</f>
        <v>76.411940008770756</v>
      </c>
      <c r="M13" s="30"/>
      <c r="N13" s="161">
        <f>D13-G13</f>
        <v>234515323</v>
      </c>
      <c r="O13" s="544">
        <v>79228000</v>
      </c>
      <c r="P13" s="712"/>
    </row>
    <row r="14" spans="1:16">
      <c r="A14" s="41" t="s">
        <v>26</v>
      </c>
      <c r="B14" s="42" t="s">
        <v>27</v>
      </c>
      <c r="C14" s="43"/>
      <c r="D14" s="32"/>
      <c r="E14" s="115"/>
      <c r="F14" s="32"/>
      <c r="G14" s="150"/>
      <c r="H14" s="151"/>
      <c r="I14" s="191"/>
      <c r="J14" s="150"/>
      <c r="K14" s="32"/>
      <c r="L14" s="32"/>
      <c r="M14" s="32"/>
      <c r="N14" s="745"/>
      <c r="O14" s="544">
        <f>N13-O13-N12</f>
        <v>104137323</v>
      </c>
      <c r="P14" s="712"/>
    </row>
    <row r="15" spans="1:16">
      <c r="A15" s="44"/>
      <c r="B15" s="45" t="s">
        <v>26</v>
      </c>
      <c r="C15" s="46" t="s">
        <v>28</v>
      </c>
      <c r="D15" s="525">
        <v>6000000</v>
      </c>
      <c r="E15" s="116">
        <v>0</v>
      </c>
      <c r="F15" s="131">
        <v>0</v>
      </c>
      <c r="G15" s="192">
        <f>999000+501000+250000+250000+250000+250000+249000+750000</f>
        <v>3499000</v>
      </c>
      <c r="H15" s="299">
        <f>G15/D15*100</f>
        <v>58.31666666666667</v>
      </c>
      <c r="I15" s="192">
        <f>G15</f>
        <v>3499000</v>
      </c>
      <c r="J15" s="301">
        <f>H15</f>
        <v>58.31666666666667</v>
      </c>
      <c r="K15" s="331">
        <f>10/12</f>
        <v>0.83333333333333337</v>
      </c>
      <c r="L15" s="311">
        <f>J15</f>
        <v>58.31666666666667</v>
      </c>
      <c r="M15" s="131"/>
      <c r="N15" s="745">
        <v>2501000</v>
      </c>
      <c r="O15" s="544">
        <v>62000000</v>
      </c>
      <c r="P15" s="712">
        <f>D15-G15</f>
        <v>2501000</v>
      </c>
    </row>
    <row r="16" spans="1:16">
      <c r="A16" s="44"/>
      <c r="B16" s="47" t="s">
        <v>29</v>
      </c>
      <c r="C16" s="48" t="s">
        <v>30</v>
      </c>
      <c r="D16" s="34">
        <v>8000000</v>
      </c>
      <c r="E16" s="297">
        <v>0</v>
      </c>
      <c r="F16" s="132">
        <v>0</v>
      </c>
      <c r="G16" s="192">
        <v>2426553</v>
      </c>
      <c r="H16" s="299">
        <f t="shared" ref="H16:H17" si="0">G16/D16*100</f>
        <v>30.331912500000001</v>
      </c>
      <c r="I16" s="192">
        <f>G16</f>
        <v>2426553</v>
      </c>
      <c r="J16" s="301">
        <f>I16/D16*100</f>
        <v>30.331912500000001</v>
      </c>
      <c r="K16" s="331">
        <f t="shared" ref="K16:K28" si="1">10/12</f>
        <v>0.83333333333333337</v>
      </c>
      <c r="L16" s="311">
        <f t="shared" ref="L16:L29" si="2">J16</f>
        <v>30.331912500000001</v>
      </c>
      <c r="M16" s="132"/>
      <c r="N16" s="745">
        <v>1573447</v>
      </c>
      <c r="O16" s="544">
        <v>2</v>
      </c>
      <c r="P16" s="712">
        <f t="shared" ref="P16:P29" si="3">D16-G16</f>
        <v>5573447</v>
      </c>
    </row>
    <row r="17" spans="1:19">
      <c r="A17" s="44"/>
      <c r="B17" s="47" t="s">
        <v>29</v>
      </c>
      <c r="C17" s="48" t="s">
        <v>31</v>
      </c>
      <c r="D17" s="34">
        <v>5000000</v>
      </c>
      <c r="E17" s="297">
        <v>0</v>
      </c>
      <c r="F17" s="132">
        <v>0</v>
      </c>
      <c r="G17" s="192">
        <v>2868400</v>
      </c>
      <c r="H17" s="299">
        <f t="shared" si="0"/>
        <v>57.367999999999995</v>
      </c>
      <c r="I17" s="192">
        <f t="shared" ref="I17:I18" si="4">G17</f>
        <v>2868400</v>
      </c>
      <c r="J17" s="301">
        <f t="shared" ref="J17:J26" si="5">I17/D17*100</f>
        <v>57.367999999999995</v>
      </c>
      <c r="K17" s="331">
        <f t="shared" si="1"/>
        <v>0.83333333333333337</v>
      </c>
      <c r="L17" s="311">
        <f t="shared" si="2"/>
        <v>57.367999999999995</v>
      </c>
      <c r="M17" s="132"/>
      <c r="N17" s="745">
        <v>2131600</v>
      </c>
      <c r="O17" s="544">
        <f>O15*O16</f>
        <v>124000000</v>
      </c>
      <c r="P17" s="712">
        <f t="shared" si="3"/>
        <v>2131600</v>
      </c>
    </row>
    <row r="18" spans="1:19">
      <c r="A18" s="44"/>
      <c r="B18" s="47" t="s">
        <v>29</v>
      </c>
      <c r="C18" s="48" t="s">
        <v>32</v>
      </c>
      <c r="D18" s="34">
        <v>12000000</v>
      </c>
      <c r="E18" s="297">
        <v>0</v>
      </c>
      <c r="F18" s="132">
        <v>0</v>
      </c>
      <c r="G18" s="192">
        <v>6053324</v>
      </c>
      <c r="H18" s="299">
        <f>G18/D18*100</f>
        <v>50.44436666666666</v>
      </c>
      <c r="I18" s="192">
        <f t="shared" si="4"/>
        <v>6053324</v>
      </c>
      <c r="J18" s="301">
        <f t="shared" si="5"/>
        <v>50.44436666666666</v>
      </c>
      <c r="K18" s="331">
        <f t="shared" si="1"/>
        <v>0.83333333333333337</v>
      </c>
      <c r="L18" s="311">
        <f t="shared" si="2"/>
        <v>50.44436666666666</v>
      </c>
      <c r="M18" s="132"/>
      <c r="N18" s="745">
        <v>1946676</v>
      </c>
      <c r="O18" s="544">
        <f>O14-O15</f>
        <v>42137323</v>
      </c>
      <c r="P18" s="712">
        <f t="shared" si="3"/>
        <v>5946676</v>
      </c>
    </row>
    <row r="19" spans="1:19">
      <c r="A19" s="44"/>
      <c r="B19" s="47" t="s">
        <v>33</v>
      </c>
      <c r="C19" s="48" t="s">
        <v>34</v>
      </c>
      <c r="D19" s="34">
        <v>12105000</v>
      </c>
      <c r="E19" s="117">
        <v>0</v>
      </c>
      <c r="F19" s="132">
        <v>0</v>
      </c>
      <c r="G19" s="192">
        <v>10000000</v>
      </c>
      <c r="H19" s="299">
        <f t="shared" ref="H19:H29" si="6">G19/D19*100</f>
        <v>82.610491532424618</v>
      </c>
      <c r="I19" s="192">
        <f>G19</f>
        <v>10000000</v>
      </c>
      <c r="J19" s="301">
        <f t="shared" si="5"/>
        <v>82.610491532424618</v>
      </c>
      <c r="K19" s="331">
        <f t="shared" si="1"/>
        <v>0.83333333333333337</v>
      </c>
      <c r="L19" s="311">
        <f t="shared" si="2"/>
        <v>82.610491532424618</v>
      </c>
      <c r="M19" s="132"/>
      <c r="N19" s="745">
        <v>2105000</v>
      </c>
      <c r="O19" s="544">
        <v>52000000</v>
      </c>
      <c r="P19" s="712">
        <f t="shared" si="3"/>
        <v>2105000</v>
      </c>
    </row>
    <row r="20" spans="1:19">
      <c r="A20" s="44"/>
      <c r="B20" s="47">
        <v>10</v>
      </c>
      <c r="C20" s="48" t="s">
        <v>35</v>
      </c>
      <c r="D20" s="34">
        <v>11895000</v>
      </c>
      <c r="E20" s="117">
        <v>0</v>
      </c>
      <c r="F20" s="132">
        <v>0</v>
      </c>
      <c r="G20" s="192">
        <f>1500000+1000000+1000000+2250000+1000000+750000+2900000</f>
        <v>10400000</v>
      </c>
      <c r="H20" s="299">
        <f t="shared" si="6"/>
        <v>87.431693989071036</v>
      </c>
      <c r="I20" s="192">
        <f t="shared" ref="I20:I23" si="7">G20</f>
        <v>10400000</v>
      </c>
      <c r="J20" s="301">
        <f t="shared" si="5"/>
        <v>87.431693989071036</v>
      </c>
      <c r="K20" s="331">
        <f t="shared" si="1"/>
        <v>0.83333333333333337</v>
      </c>
      <c r="L20" s="311">
        <f t="shared" si="2"/>
        <v>87.431693989071036</v>
      </c>
      <c r="M20" s="132"/>
      <c r="N20" s="745">
        <v>1495000</v>
      </c>
      <c r="O20" s="544">
        <f>O19-O18</f>
        <v>9862677</v>
      </c>
      <c r="P20" s="712">
        <f t="shared" si="3"/>
        <v>1495000</v>
      </c>
    </row>
    <row r="21" spans="1:19">
      <c r="A21" s="44"/>
      <c r="B21" s="47">
        <v>11</v>
      </c>
      <c r="C21" s="48" t="s">
        <v>36</v>
      </c>
      <c r="D21" s="34">
        <v>6000000</v>
      </c>
      <c r="E21" s="117">
        <v>0</v>
      </c>
      <c r="F21" s="132">
        <v>0</v>
      </c>
      <c r="G21" s="192">
        <f>1000000+500000+750000+1700000+200000+350000+500000</f>
        <v>5000000</v>
      </c>
      <c r="H21" s="299">
        <f t="shared" si="6"/>
        <v>83.333333333333343</v>
      </c>
      <c r="I21" s="192">
        <f t="shared" si="7"/>
        <v>5000000</v>
      </c>
      <c r="J21" s="301">
        <f t="shared" si="5"/>
        <v>83.333333333333343</v>
      </c>
      <c r="K21" s="331">
        <f t="shared" si="1"/>
        <v>0.83333333333333337</v>
      </c>
      <c r="L21" s="311">
        <f t="shared" si="2"/>
        <v>83.333333333333343</v>
      </c>
      <c r="M21" s="132"/>
      <c r="N21" s="745">
        <v>1000000</v>
      </c>
      <c r="P21" s="712">
        <f t="shared" si="3"/>
        <v>1000000</v>
      </c>
    </row>
    <row r="22" spans="1:19">
      <c r="A22" s="44"/>
      <c r="B22" s="47">
        <v>11</v>
      </c>
      <c r="C22" s="48" t="s">
        <v>37</v>
      </c>
      <c r="D22" s="34">
        <v>18000000</v>
      </c>
      <c r="E22" s="117">
        <v>0</v>
      </c>
      <c r="F22" s="132">
        <v>0</v>
      </c>
      <c r="G22" s="192">
        <f>2525600+17850+34600+34000+2524800+370000+297800+11600000</f>
        <v>17404650</v>
      </c>
      <c r="H22" s="299">
        <f t="shared" si="6"/>
        <v>96.69250000000001</v>
      </c>
      <c r="I22" s="192">
        <f t="shared" si="7"/>
        <v>17404650</v>
      </c>
      <c r="J22" s="301">
        <f t="shared" si="5"/>
        <v>96.69250000000001</v>
      </c>
      <c r="K22" s="331">
        <f t="shared" si="1"/>
        <v>0.83333333333333337</v>
      </c>
      <c r="L22" s="311">
        <f t="shared" si="2"/>
        <v>96.69250000000001</v>
      </c>
      <c r="M22" s="132"/>
      <c r="N22" s="745">
        <v>595350</v>
      </c>
      <c r="P22" s="712">
        <f t="shared" si="3"/>
        <v>595350</v>
      </c>
    </row>
    <row r="23" spans="1:19">
      <c r="A23" s="44"/>
      <c r="B23" s="47">
        <v>12</v>
      </c>
      <c r="C23" s="48" t="s">
        <v>38</v>
      </c>
      <c r="D23" s="34">
        <v>5000000</v>
      </c>
      <c r="E23" s="117">
        <v>0</v>
      </c>
      <c r="F23" s="132">
        <v>0</v>
      </c>
      <c r="G23" s="192">
        <v>4225000</v>
      </c>
      <c r="H23" s="299">
        <f t="shared" si="6"/>
        <v>84.5</v>
      </c>
      <c r="I23" s="192">
        <f t="shared" si="7"/>
        <v>4225000</v>
      </c>
      <c r="J23" s="301">
        <f t="shared" si="5"/>
        <v>84.5</v>
      </c>
      <c r="K23" s="331">
        <f t="shared" si="1"/>
        <v>0.83333333333333337</v>
      </c>
      <c r="L23" s="311">
        <f t="shared" si="2"/>
        <v>84.5</v>
      </c>
      <c r="M23" s="132"/>
      <c r="N23" s="745">
        <v>775000</v>
      </c>
      <c r="P23" s="712">
        <f t="shared" si="3"/>
        <v>775000</v>
      </c>
    </row>
    <row r="24" spans="1:19">
      <c r="A24" s="44"/>
      <c r="B24" s="47">
        <v>13</v>
      </c>
      <c r="C24" s="48" t="s">
        <v>39</v>
      </c>
      <c r="D24" s="34">
        <v>5000000</v>
      </c>
      <c r="E24" s="117">
        <v>0</v>
      </c>
      <c r="F24" s="132">
        <v>0</v>
      </c>
      <c r="G24" s="192">
        <f>1000000+250000+500000+745000+750000+500000+700000</f>
        <v>4445000</v>
      </c>
      <c r="H24" s="299">
        <f t="shared" si="6"/>
        <v>88.9</v>
      </c>
      <c r="I24" s="192">
        <f>G24</f>
        <v>4445000</v>
      </c>
      <c r="J24" s="301">
        <f t="shared" si="5"/>
        <v>88.9</v>
      </c>
      <c r="K24" s="331">
        <f t="shared" si="1"/>
        <v>0.83333333333333337</v>
      </c>
      <c r="L24" s="311">
        <f t="shared" si="2"/>
        <v>88.9</v>
      </c>
      <c r="M24" s="132"/>
      <c r="N24" s="745">
        <v>555000</v>
      </c>
      <c r="P24" s="712">
        <f t="shared" si="3"/>
        <v>555000</v>
      </c>
    </row>
    <row r="25" spans="1:19">
      <c r="A25" s="44"/>
      <c r="B25" s="47">
        <v>15</v>
      </c>
      <c r="C25" s="48" t="s">
        <v>40</v>
      </c>
      <c r="D25" s="34">
        <v>3000000</v>
      </c>
      <c r="E25" s="117">
        <v>0</v>
      </c>
      <c r="F25" s="132">
        <v>0</v>
      </c>
      <c r="G25" s="192">
        <f>260000+140000+260000+140000+120000+120000+240000</f>
        <v>1280000</v>
      </c>
      <c r="H25" s="299">
        <f t="shared" si="6"/>
        <v>42.666666666666671</v>
      </c>
      <c r="I25" s="192">
        <f t="shared" ref="I25:I26" si="8">G25</f>
        <v>1280000</v>
      </c>
      <c r="J25" s="301">
        <f t="shared" si="5"/>
        <v>42.666666666666671</v>
      </c>
      <c r="K25" s="331">
        <f t="shared" si="1"/>
        <v>0.83333333333333337</v>
      </c>
      <c r="L25" s="311">
        <f t="shared" si="2"/>
        <v>42.666666666666671</v>
      </c>
      <c r="M25" s="132"/>
      <c r="N25" s="745">
        <v>1720000</v>
      </c>
      <c r="P25" s="712">
        <f t="shared" si="3"/>
        <v>1720000</v>
      </c>
    </row>
    <row r="26" spans="1:19">
      <c r="A26" s="44"/>
      <c r="B26" s="47">
        <v>17</v>
      </c>
      <c r="C26" s="48" t="s">
        <v>41</v>
      </c>
      <c r="D26" s="34">
        <v>5000000</v>
      </c>
      <c r="E26" s="117">
        <v>0</v>
      </c>
      <c r="F26" s="132">
        <v>0</v>
      </c>
      <c r="G26" s="192">
        <f>1000000+250000+750000+650000+900000+950000</f>
        <v>4500000</v>
      </c>
      <c r="H26" s="299">
        <f t="shared" si="6"/>
        <v>90</v>
      </c>
      <c r="I26" s="192">
        <f t="shared" si="8"/>
        <v>4500000</v>
      </c>
      <c r="J26" s="301">
        <f t="shared" si="5"/>
        <v>90</v>
      </c>
      <c r="K26" s="331">
        <f t="shared" si="1"/>
        <v>0.83333333333333337</v>
      </c>
      <c r="L26" s="311">
        <f t="shared" si="2"/>
        <v>90</v>
      </c>
      <c r="M26" s="132"/>
      <c r="N26" s="745">
        <v>1749040</v>
      </c>
      <c r="P26" s="712">
        <f t="shared" si="3"/>
        <v>500000</v>
      </c>
    </row>
    <row r="27" spans="1:19">
      <c r="A27" s="44"/>
      <c r="B27" s="47">
        <v>17</v>
      </c>
      <c r="C27" s="48" t="s">
        <v>42</v>
      </c>
      <c r="D27" s="34">
        <v>7000000</v>
      </c>
      <c r="E27" s="117">
        <v>0</v>
      </c>
      <c r="F27" s="132">
        <v>0</v>
      </c>
      <c r="G27" s="192">
        <f>1200000+400000+1800000+760000+760000+760000</f>
        <v>5680000</v>
      </c>
      <c r="H27" s="299">
        <f t="shared" si="6"/>
        <v>81.142857142857139</v>
      </c>
      <c r="I27" s="192">
        <f>G27</f>
        <v>5680000</v>
      </c>
      <c r="J27" s="301">
        <f>I27/D27*100</f>
        <v>81.142857142857139</v>
      </c>
      <c r="K27" s="331">
        <f t="shared" si="1"/>
        <v>0.83333333333333337</v>
      </c>
      <c r="L27" s="311">
        <f t="shared" si="2"/>
        <v>81.142857142857139</v>
      </c>
      <c r="M27" s="132"/>
      <c r="N27" s="745">
        <v>3520000</v>
      </c>
      <c r="P27" s="712">
        <f t="shared" si="3"/>
        <v>1320000</v>
      </c>
    </row>
    <row r="28" spans="1:19">
      <c r="A28" s="44"/>
      <c r="B28" s="47">
        <v>18</v>
      </c>
      <c r="C28" s="48" t="s">
        <v>43</v>
      </c>
      <c r="D28" s="34">
        <v>15000000</v>
      </c>
      <c r="E28" s="117">
        <v>0</v>
      </c>
      <c r="F28" s="132">
        <v>0</v>
      </c>
      <c r="G28" s="192">
        <v>12075000</v>
      </c>
      <c r="H28" s="299">
        <f t="shared" si="6"/>
        <v>80.5</v>
      </c>
      <c r="I28" s="192">
        <f>G28</f>
        <v>12075000</v>
      </c>
      <c r="J28" s="301">
        <f t="shared" ref="J28:J29" si="9">I28/D28*100</f>
        <v>80.5</v>
      </c>
      <c r="K28" s="331">
        <f t="shared" si="1"/>
        <v>0.83333333333333337</v>
      </c>
      <c r="L28" s="311">
        <f t="shared" si="2"/>
        <v>80.5</v>
      </c>
      <c r="M28" s="132"/>
      <c r="N28" s="745">
        <f>3030000+5450000</f>
        <v>8480000</v>
      </c>
      <c r="P28" s="712">
        <f t="shared" si="3"/>
        <v>2925000</v>
      </c>
    </row>
    <row r="29" spans="1:19" ht="15.75" thickBot="1">
      <c r="A29" s="44"/>
      <c r="B29" s="49">
        <v>19</v>
      </c>
      <c r="C29" s="50" t="s">
        <v>44</v>
      </c>
      <c r="D29" s="51">
        <v>51212000</v>
      </c>
      <c r="E29" s="298"/>
      <c r="F29" s="133">
        <v>0</v>
      </c>
      <c r="G29" s="192">
        <f>37089000+4242000</f>
        <v>41331000</v>
      </c>
      <c r="H29" s="300">
        <f t="shared" si="6"/>
        <v>80.705693977973908</v>
      </c>
      <c r="I29" s="192">
        <f t="shared" ref="I29" si="10">G29</f>
        <v>41331000</v>
      </c>
      <c r="J29" s="301">
        <f t="shared" si="9"/>
        <v>80.705693977973908</v>
      </c>
      <c r="K29" s="331">
        <f>10/12</f>
        <v>0.83333333333333337</v>
      </c>
      <c r="L29" s="311">
        <f t="shared" si="2"/>
        <v>80.705693977973908</v>
      </c>
      <c r="M29" s="133"/>
      <c r="N29" s="745">
        <f>14956000+953000+136000+171000</f>
        <v>16216000</v>
      </c>
      <c r="P29" s="712">
        <f t="shared" si="3"/>
        <v>9881000</v>
      </c>
    </row>
    <row r="30" spans="1:19" ht="15.75" thickBot="1">
      <c r="A30" s="35"/>
      <c r="B30" s="52"/>
      <c r="C30" s="37" t="s">
        <v>45</v>
      </c>
      <c r="D30" s="53">
        <f>SUM(D15:D29)</f>
        <v>170212000</v>
      </c>
      <c r="E30" s="53">
        <f>SUM(E15:E29)</f>
        <v>0</v>
      </c>
      <c r="F30" s="53">
        <f t="shared" ref="F30" si="11">SUM(F15:F29)</f>
        <v>0</v>
      </c>
      <c r="G30" s="53">
        <f>SUM(G15:G29)</f>
        <v>131187927</v>
      </c>
      <c r="H30" s="214">
        <f>G30/D30*100</f>
        <v>77.073253942142742</v>
      </c>
      <c r="I30" s="194">
        <f t="shared" ref="I30" si="12">SUM(I15:I29)</f>
        <v>131187927</v>
      </c>
      <c r="J30" s="214">
        <f>I30/D30*100</f>
        <v>77.073253942142742</v>
      </c>
      <c r="K30" s="332">
        <f>10/12</f>
        <v>0.83333333333333337</v>
      </c>
      <c r="L30" s="214">
        <f>J30</f>
        <v>77.073253942142742</v>
      </c>
      <c r="M30" s="746"/>
      <c r="N30" s="747">
        <f>SUM(N14:N29)</f>
        <v>46363113</v>
      </c>
      <c r="P30" s="713">
        <f>SUM(P15:P29)</f>
        <v>39024073</v>
      </c>
      <c r="Q30" s="178">
        <f>D30-G30</f>
        <v>39024073</v>
      </c>
      <c r="R30" s="544">
        <f>N29+O42+N117</f>
        <v>77716000</v>
      </c>
      <c r="S30" t="s">
        <v>558</v>
      </c>
    </row>
    <row r="31" spans="1:19" ht="15.75" thickBot="1">
      <c r="A31" s="54" t="s">
        <v>29</v>
      </c>
      <c r="B31" s="55" t="s">
        <v>90</v>
      </c>
      <c r="C31" s="56"/>
      <c r="D31" s="57"/>
      <c r="E31" s="119"/>
      <c r="F31" s="131"/>
      <c r="G31" s="152"/>
      <c r="H31" s="152"/>
      <c r="I31" s="119"/>
      <c r="J31" s="152"/>
      <c r="K31" s="152"/>
      <c r="L31" s="152"/>
      <c r="M31" s="131"/>
      <c r="N31" s="747">
        <f>N15+N16+N17+N18+N19+N20+N21+N22+N23+N24+N25+N26+N27+N28</f>
        <v>30147113</v>
      </c>
      <c r="P31" s="712"/>
      <c r="R31" s="544">
        <f>N31+N44+N59+N66+N79+N82+N86+N92+N40</f>
        <v>77596363</v>
      </c>
      <c r="S31" t="s">
        <v>559</v>
      </c>
    </row>
    <row r="32" spans="1:19">
      <c r="A32" s="279"/>
      <c r="B32" s="47" t="s">
        <v>53</v>
      </c>
      <c r="C32" s="46" t="s">
        <v>216</v>
      </c>
      <c r="D32" s="80">
        <v>40000000</v>
      </c>
      <c r="E32" s="119"/>
      <c r="F32" s="131"/>
      <c r="G32" s="152">
        <v>40000000</v>
      </c>
      <c r="H32" s="299">
        <f t="shared" ref="H32:H36" si="13">G32/D32*100</f>
        <v>100</v>
      </c>
      <c r="I32" s="119">
        <f>G32</f>
        <v>40000000</v>
      </c>
      <c r="J32" s="301">
        <f t="shared" ref="J32:J36" si="14">I32/D32*100</f>
        <v>100</v>
      </c>
      <c r="K32" s="331">
        <f>10/12</f>
        <v>0.83333333333333337</v>
      </c>
      <c r="L32" s="311">
        <f t="shared" ref="L32" si="15">J32</f>
        <v>100</v>
      </c>
      <c r="M32" s="131"/>
      <c r="N32" s="745">
        <v>0</v>
      </c>
      <c r="P32" s="712">
        <f t="shared" ref="P32:P39" si="16">D32-G32</f>
        <v>0</v>
      </c>
      <c r="R32" s="544">
        <v>30000000</v>
      </c>
    </row>
    <row r="33" spans="1:18">
      <c r="A33" s="44"/>
      <c r="B33" s="47" t="s">
        <v>46</v>
      </c>
      <c r="C33" s="58" t="s">
        <v>110</v>
      </c>
      <c r="D33" s="59">
        <v>20000000</v>
      </c>
      <c r="E33" s="120">
        <v>0</v>
      </c>
      <c r="F33" s="132">
        <v>0</v>
      </c>
      <c r="G33" s="119">
        <v>14475000</v>
      </c>
      <c r="H33" s="299">
        <f t="shared" si="13"/>
        <v>72.375</v>
      </c>
      <c r="I33" s="119">
        <f>G33</f>
        <v>14475000</v>
      </c>
      <c r="J33" s="301">
        <f t="shared" si="14"/>
        <v>72.375</v>
      </c>
      <c r="K33" s="331">
        <f t="shared" ref="K33:K38" si="17">10/12</f>
        <v>0.83333333333333337</v>
      </c>
      <c r="L33" s="311">
        <f>J33</f>
        <v>72.375</v>
      </c>
      <c r="M33" s="132"/>
      <c r="N33" s="745">
        <v>4525000</v>
      </c>
      <c r="P33" s="712">
        <f t="shared" si="16"/>
        <v>5525000</v>
      </c>
      <c r="R33" s="544">
        <f>R31-R32</f>
        <v>47596363</v>
      </c>
    </row>
    <row r="34" spans="1:18">
      <c r="A34" s="44"/>
      <c r="B34" s="47">
        <v>21</v>
      </c>
      <c r="C34" s="48" t="s">
        <v>47</v>
      </c>
      <c r="D34" s="59">
        <v>30000000</v>
      </c>
      <c r="E34" s="120">
        <v>0</v>
      </c>
      <c r="F34" s="132">
        <v>0</v>
      </c>
      <c r="G34" s="206">
        <v>30000000</v>
      </c>
      <c r="H34" s="299">
        <f t="shared" si="13"/>
        <v>100</v>
      </c>
      <c r="I34" s="119">
        <f t="shared" ref="I34:I35" si="18">G34</f>
        <v>30000000</v>
      </c>
      <c r="J34" s="301">
        <f t="shared" si="14"/>
        <v>100</v>
      </c>
      <c r="K34" s="331">
        <f t="shared" si="17"/>
        <v>0.83333333333333337</v>
      </c>
      <c r="L34" s="311">
        <f>J34</f>
        <v>100</v>
      </c>
      <c r="M34" s="132"/>
      <c r="N34" s="745">
        <v>0</v>
      </c>
      <c r="P34" s="712">
        <f t="shared" si="16"/>
        <v>0</v>
      </c>
    </row>
    <row r="35" spans="1:18">
      <c r="A35" s="44"/>
      <c r="B35" s="47">
        <v>22</v>
      </c>
      <c r="C35" s="48" t="s">
        <v>48</v>
      </c>
      <c r="D35" s="60">
        <v>30000000</v>
      </c>
      <c r="E35" s="120">
        <v>0</v>
      </c>
      <c r="F35" s="132">
        <v>0</v>
      </c>
      <c r="G35" s="206">
        <v>30000000</v>
      </c>
      <c r="H35" s="299">
        <f t="shared" si="13"/>
        <v>100</v>
      </c>
      <c r="I35" s="119">
        <f t="shared" si="18"/>
        <v>30000000</v>
      </c>
      <c r="J35" s="301">
        <f t="shared" si="14"/>
        <v>100</v>
      </c>
      <c r="K35" s="331">
        <f t="shared" si="17"/>
        <v>0.83333333333333337</v>
      </c>
      <c r="L35" s="311">
        <f t="shared" ref="L35" si="19">J35</f>
        <v>100</v>
      </c>
      <c r="M35" s="154"/>
      <c r="N35" s="745">
        <v>3000000</v>
      </c>
      <c r="P35" s="712">
        <f t="shared" si="16"/>
        <v>0</v>
      </c>
    </row>
    <row r="36" spans="1:18">
      <c r="A36" s="44"/>
      <c r="B36" s="47">
        <v>24</v>
      </c>
      <c r="C36" s="48" t="s">
        <v>49</v>
      </c>
      <c r="D36" s="60">
        <v>35000000</v>
      </c>
      <c r="E36" s="120">
        <v>0</v>
      </c>
      <c r="F36" s="132">
        <v>0</v>
      </c>
      <c r="G36" s="206">
        <f>6051250+1700000+2418000+4557000+2750000+2922500+4902000</f>
        <v>25300750</v>
      </c>
      <c r="H36" s="299">
        <f t="shared" si="13"/>
        <v>72.287857142857149</v>
      </c>
      <c r="I36" s="192">
        <f>G36</f>
        <v>25300750</v>
      </c>
      <c r="J36" s="301">
        <f t="shared" si="14"/>
        <v>72.287857142857149</v>
      </c>
      <c r="K36" s="331">
        <f t="shared" si="17"/>
        <v>0.83333333333333337</v>
      </c>
      <c r="L36" s="311">
        <f>J36</f>
        <v>72.287857142857149</v>
      </c>
      <c r="M36" s="132"/>
      <c r="N36" s="745">
        <v>10699250</v>
      </c>
      <c r="P36" s="712">
        <f t="shared" si="16"/>
        <v>9699250</v>
      </c>
    </row>
    <row r="37" spans="1:18">
      <c r="A37" s="44"/>
      <c r="B37" s="47">
        <v>26</v>
      </c>
      <c r="C37" s="48" t="s">
        <v>50</v>
      </c>
      <c r="D37" s="60">
        <v>4000000</v>
      </c>
      <c r="E37" s="120">
        <v>0</v>
      </c>
      <c r="F37" s="132">
        <v>0</v>
      </c>
      <c r="G37" s="206">
        <v>3500000</v>
      </c>
      <c r="H37" s="299">
        <f>G37/D37*100</f>
        <v>87.5</v>
      </c>
      <c r="I37" s="192">
        <f>G37</f>
        <v>3500000</v>
      </c>
      <c r="J37" s="301">
        <f>I37/D37*100</f>
        <v>87.5</v>
      </c>
      <c r="K37" s="331">
        <f t="shared" si="17"/>
        <v>0.83333333333333337</v>
      </c>
      <c r="L37" s="311">
        <f t="shared" ref="L37:L39" si="20">J37</f>
        <v>87.5</v>
      </c>
      <c r="M37" s="132"/>
      <c r="N37" s="745">
        <v>500000</v>
      </c>
      <c r="P37" s="712">
        <f t="shared" si="16"/>
        <v>500000</v>
      </c>
    </row>
    <row r="38" spans="1:18">
      <c r="A38" s="44"/>
      <c r="B38" s="47">
        <v>28</v>
      </c>
      <c r="C38" s="48" t="s">
        <v>51</v>
      </c>
      <c r="D38" s="60">
        <v>12000000</v>
      </c>
      <c r="E38" s="120">
        <v>0</v>
      </c>
      <c r="F38" s="132">
        <v>0</v>
      </c>
      <c r="G38" s="206">
        <f>300000+300000+2250000+1000000+400000+1250000+500000+750000+200000+950000+2250000</f>
        <v>10150000</v>
      </c>
      <c r="H38" s="299">
        <f t="shared" ref="H38" si="21">G38/D38*100</f>
        <v>84.583333333333329</v>
      </c>
      <c r="I38" s="192">
        <f>G38</f>
        <v>10150000</v>
      </c>
      <c r="J38" s="301">
        <f>I38/D38*100</f>
        <v>84.583333333333329</v>
      </c>
      <c r="K38" s="331">
        <f t="shared" si="17"/>
        <v>0.83333333333333337</v>
      </c>
      <c r="L38" s="311">
        <f t="shared" si="20"/>
        <v>84.583333333333329</v>
      </c>
      <c r="M38" s="132"/>
      <c r="N38" s="745">
        <v>1850000</v>
      </c>
      <c r="P38" s="712">
        <f t="shared" si="16"/>
        <v>1850000</v>
      </c>
    </row>
    <row r="39" spans="1:18" ht="15.75" thickBot="1">
      <c r="A39" s="44"/>
      <c r="B39" s="61">
        <v>29</v>
      </c>
      <c r="C39" s="50" t="s">
        <v>52</v>
      </c>
      <c r="D39" s="62">
        <v>2000000</v>
      </c>
      <c r="E39" s="121">
        <v>0</v>
      </c>
      <c r="F39" s="133">
        <v>0</v>
      </c>
      <c r="G39" s="197">
        <f>200000+100000+390000+350000+460000</f>
        <v>1500000</v>
      </c>
      <c r="H39" s="312">
        <f>G39/D39*100</f>
        <v>75</v>
      </c>
      <c r="I39" s="313">
        <f t="shared" ref="I39" si="22">G39</f>
        <v>1500000</v>
      </c>
      <c r="J39" s="314">
        <f t="shared" ref="J39" si="23">I39/D39*100</f>
        <v>75</v>
      </c>
      <c r="K39" s="331">
        <f>10/12</f>
        <v>0.83333333333333337</v>
      </c>
      <c r="L39" s="311">
        <f t="shared" si="20"/>
        <v>75</v>
      </c>
      <c r="M39" s="133"/>
      <c r="N39" s="745">
        <v>500000</v>
      </c>
      <c r="P39" s="712">
        <f t="shared" si="16"/>
        <v>500000</v>
      </c>
    </row>
    <row r="40" spans="1:18" ht="15.75" thickBot="1">
      <c r="A40" s="63"/>
      <c r="B40" s="64"/>
      <c r="C40" s="65" t="s">
        <v>45</v>
      </c>
      <c r="D40" s="66">
        <f>SUM(D32:D39)</f>
        <v>173000000</v>
      </c>
      <c r="E40" s="122"/>
      <c r="F40" s="66"/>
      <c r="G40" s="285">
        <f>SUM(G32:G39)</f>
        <v>154925750</v>
      </c>
      <c r="H40" s="323">
        <f>G40/D40*100</f>
        <v>89.552456647398841</v>
      </c>
      <c r="I40" s="286">
        <f>SUM(I32:I39)</f>
        <v>154925750</v>
      </c>
      <c r="J40" s="323">
        <f>I40/D40*100</f>
        <v>89.552456647398841</v>
      </c>
      <c r="K40" s="333">
        <f>10/12</f>
        <v>0.83333333333333337</v>
      </c>
      <c r="L40" s="302">
        <f>J40</f>
        <v>89.552456647398841</v>
      </c>
      <c r="M40" s="748"/>
      <c r="N40" s="747">
        <f>SUM(N32:N39)</f>
        <v>21074250</v>
      </c>
      <c r="P40" s="713">
        <f>SUM(P32:P39)</f>
        <v>18074250</v>
      </c>
    </row>
    <row r="41" spans="1:18">
      <c r="A41" s="67" t="s">
        <v>53</v>
      </c>
      <c r="B41" s="68" t="s">
        <v>54</v>
      </c>
      <c r="C41" s="69"/>
      <c r="D41" s="70"/>
      <c r="E41" s="123"/>
      <c r="F41" s="134"/>
      <c r="G41" s="164"/>
      <c r="H41" s="148"/>
      <c r="I41" s="164"/>
      <c r="J41" s="152"/>
      <c r="K41" s="152"/>
      <c r="L41" s="156"/>
      <c r="M41" s="134"/>
      <c r="P41" s="712"/>
    </row>
    <row r="42" spans="1:18" ht="15.75" thickBot="1">
      <c r="A42" s="44"/>
      <c r="B42" s="47" t="s">
        <v>26</v>
      </c>
      <c r="C42" s="48" t="s">
        <v>55</v>
      </c>
      <c r="D42" s="60">
        <v>25000000</v>
      </c>
      <c r="E42" s="120">
        <v>0</v>
      </c>
      <c r="F42" s="208">
        <v>0</v>
      </c>
      <c r="G42" s="197" t="s">
        <v>132</v>
      </c>
      <c r="H42" s="59" t="s">
        <v>132</v>
      </c>
      <c r="I42" s="197" t="s">
        <v>132</v>
      </c>
      <c r="J42" s="59" t="s">
        <v>132</v>
      </c>
      <c r="K42" s="59">
        <v>0</v>
      </c>
      <c r="L42" s="59">
        <v>0</v>
      </c>
      <c r="M42" s="132"/>
      <c r="N42" s="161">
        <v>15000000</v>
      </c>
      <c r="O42" s="544">
        <v>10000000</v>
      </c>
      <c r="P42" s="712"/>
    </row>
    <row r="43" spans="1:18" ht="15.75" thickBot="1">
      <c r="A43" s="63"/>
      <c r="B43" s="71"/>
      <c r="C43" s="65" t="s">
        <v>45</v>
      </c>
      <c r="D43" s="66">
        <f>SUM(D42:D42)</f>
        <v>25000000</v>
      </c>
      <c r="E43" s="122">
        <f>SUM(E42:E42)</f>
        <v>0</v>
      </c>
      <c r="F43" s="202">
        <f>SUM(F42:F42)</f>
        <v>0</v>
      </c>
      <c r="G43" s="122" t="s">
        <v>132</v>
      </c>
      <c r="H43" s="66" t="s">
        <v>132</v>
      </c>
      <c r="I43" s="122" t="s">
        <v>132</v>
      </c>
      <c r="J43" s="155" t="s">
        <v>132</v>
      </c>
      <c r="K43" s="66">
        <f>SUM(K42:K42)</f>
        <v>0</v>
      </c>
      <c r="L43" s="66">
        <f>SUM(L42:L42)</f>
        <v>0</v>
      </c>
      <c r="M43" s="748"/>
      <c r="N43" s="749">
        <f>SUM(N42)</f>
        <v>15000000</v>
      </c>
      <c r="P43" s="712"/>
    </row>
    <row r="44" spans="1:18">
      <c r="A44" s="44">
        <v>15</v>
      </c>
      <c r="B44" s="72" t="s">
        <v>61</v>
      </c>
      <c r="C44" s="73"/>
      <c r="D44" s="57"/>
      <c r="E44" s="119"/>
      <c r="F44" s="209"/>
      <c r="G44" s="119" t="s">
        <v>132</v>
      </c>
      <c r="H44" s="152" t="s">
        <v>132</v>
      </c>
      <c r="I44" s="119" t="s">
        <v>132</v>
      </c>
      <c r="J44" s="152" t="s">
        <v>132</v>
      </c>
      <c r="K44" s="152"/>
      <c r="L44" s="152"/>
      <c r="M44" s="131"/>
      <c r="N44" s="161">
        <v>5000000</v>
      </c>
      <c r="P44" s="712"/>
    </row>
    <row r="45" spans="1:18">
      <c r="A45" s="44"/>
      <c r="B45" s="47">
        <v>18</v>
      </c>
      <c r="C45" s="48" t="s">
        <v>62</v>
      </c>
      <c r="D45" s="60">
        <v>5000000</v>
      </c>
      <c r="E45" s="120">
        <v>0</v>
      </c>
      <c r="F45" s="208">
        <v>0</v>
      </c>
      <c r="G45" s="120">
        <v>5000000</v>
      </c>
      <c r="H45" s="299">
        <f t="shared" ref="H45:H46" si="24">G45/D45*100</f>
        <v>100</v>
      </c>
      <c r="I45" s="120">
        <f>G45</f>
        <v>5000000</v>
      </c>
      <c r="J45" s="301">
        <f>I45/D45*100</f>
        <v>100</v>
      </c>
      <c r="K45" s="331">
        <f>10/12</f>
        <v>0.83333333333333337</v>
      </c>
      <c r="L45" s="301">
        <f>J45</f>
        <v>100</v>
      </c>
      <c r="M45" s="132"/>
      <c r="N45" s="161">
        <v>0</v>
      </c>
      <c r="P45" s="712"/>
    </row>
    <row r="46" spans="1:18" ht="25.5">
      <c r="A46" s="44"/>
      <c r="B46" s="49">
        <v>63</v>
      </c>
      <c r="C46" s="244" t="s">
        <v>63</v>
      </c>
      <c r="D46" s="62">
        <v>5000000</v>
      </c>
      <c r="E46" s="121">
        <v>0</v>
      </c>
      <c r="F46" s="210">
        <v>0</v>
      </c>
      <c r="G46" s="121">
        <v>5000000</v>
      </c>
      <c r="H46" s="300">
        <f t="shared" si="24"/>
        <v>100</v>
      </c>
      <c r="I46" s="120">
        <f>G46</f>
        <v>5000000</v>
      </c>
      <c r="J46" s="314">
        <f>I46/D46*100</f>
        <v>100</v>
      </c>
      <c r="K46" s="331">
        <f>10/12</f>
        <v>0.83333333333333337</v>
      </c>
      <c r="L46" s="528">
        <f>J46</f>
        <v>100</v>
      </c>
      <c r="M46" s="133"/>
      <c r="N46" s="161">
        <v>0</v>
      </c>
      <c r="P46" s="712"/>
    </row>
    <row r="47" spans="1:18">
      <c r="A47" s="63"/>
      <c r="B47" s="64"/>
      <c r="C47" s="65" t="s">
        <v>45</v>
      </c>
      <c r="D47" s="66">
        <f>SUM(D45:D46)</f>
        <v>10000000</v>
      </c>
      <c r="E47" s="122">
        <f t="shared" ref="E47" si="25">SUM(E45:E46)</f>
        <v>0</v>
      </c>
      <c r="F47" s="202">
        <f>SUM(F45:F46)</f>
        <v>0</v>
      </c>
      <c r="G47" s="195">
        <f>SUM(G45:G46)</f>
        <v>10000000</v>
      </c>
      <c r="H47" s="302">
        <f>G47/D47*100</f>
        <v>100</v>
      </c>
      <c r="I47" s="195">
        <f>SUM(I45:I46)</f>
        <v>10000000</v>
      </c>
      <c r="J47" s="323">
        <f>I47/D47*100</f>
        <v>100</v>
      </c>
      <c r="K47" s="356">
        <f>K46</f>
        <v>0.83333333333333337</v>
      </c>
      <c r="L47" s="302">
        <f>J47</f>
        <v>100</v>
      </c>
      <c r="M47" s="66"/>
      <c r="P47" s="712"/>
    </row>
    <row r="48" spans="1:18">
      <c r="A48" s="44">
        <v>30</v>
      </c>
      <c r="B48" s="77" t="s">
        <v>64</v>
      </c>
      <c r="C48" s="78"/>
      <c r="D48" s="57"/>
      <c r="E48" s="119"/>
      <c r="F48" s="209"/>
      <c r="G48" s="119"/>
      <c r="H48" s="152"/>
      <c r="I48" s="119"/>
      <c r="J48" s="152"/>
      <c r="K48" s="152"/>
      <c r="L48" s="311"/>
      <c r="M48" s="131"/>
      <c r="P48" s="712"/>
    </row>
    <row r="49" spans="1:16">
      <c r="A49" s="44"/>
      <c r="B49" s="45">
        <v>2</v>
      </c>
      <c r="C49" s="79" t="s">
        <v>102</v>
      </c>
      <c r="D49" s="80">
        <v>200000000</v>
      </c>
      <c r="E49" s="124">
        <v>0</v>
      </c>
      <c r="F49" s="209">
        <v>0</v>
      </c>
      <c r="G49" s="124">
        <v>199258000</v>
      </c>
      <c r="H49" s="312">
        <f t="shared" ref="H49" si="26">G49/D49*100</f>
        <v>99.629000000000005</v>
      </c>
      <c r="I49" s="120">
        <f>G49</f>
        <v>199258000</v>
      </c>
      <c r="J49" s="314">
        <f>I49/D49*100</f>
        <v>99.629000000000005</v>
      </c>
      <c r="K49" s="331">
        <f>10/12</f>
        <v>0.83333333333333337</v>
      </c>
      <c r="L49" s="311">
        <f>J49</f>
        <v>99.629000000000005</v>
      </c>
      <c r="M49" s="131"/>
      <c r="N49" s="161">
        <v>0</v>
      </c>
      <c r="P49" s="712">
        <f t="shared" ref="P49" si="27">D49-G49</f>
        <v>742000</v>
      </c>
    </row>
    <row r="50" spans="1:16">
      <c r="A50" s="63"/>
      <c r="B50" s="64"/>
      <c r="C50" s="65" t="s">
        <v>45</v>
      </c>
      <c r="D50" s="66">
        <f>SUM(D48:D49)</f>
        <v>200000000</v>
      </c>
      <c r="E50" s="66">
        <f>SUM(E48:E49)</f>
        <v>0</v>
      </c>
      <c r="F50" s="202">
        <f>SUM(F48:F49)</f>
        <v>0</v>
      </c>
      <c r="G50" s="122">
        <f>SUM(G49)</f>
        <v>199258000</v>
      </c>
      <c r="H50" s="323">
        <f>G50/D50*100</f>
        <v>99.629000000000005</v>
      </c>
      <c r="I50" s="122">
        <f>SUM(I49)</f>
        <v>199258000</v>
      </c>
      <c r="J50" s="323">
        <f>I50/D50*100</f>
        <v>99.629000000000005</v>
      </c>
      <c r="K50" s="356">
        <f>K49</f>
        <v>0.83333333333333337</v>
      </c>
      <c r="L50" s="302">
        <f>J50</f>
        <v>99.629000000000005</v>
      </c>
      <c r="M50" s="66"/>
      <c r="P50" s="713">
        <f>SUM(P49)</f>
        <v>742000</v>
      </c>
    </row>
    <row r="51" spans="1:16">
      <c r="A51" s="44">
        <v>21</v>
      </c>
      <c r="B51" s="81" t="s">
        <v>65</v>
      </c>
      <c r="C51" s="82"/>
      <c r="D51" s="57"/>
      <c r="E51" s="119"/>
      <c r="F51" s="209"/>
      <c r="G51" s="119"/>
      <c r="H51" s="152"/>
      <c r="I51" s="119"/>
      <c r="J51" s="152"/>
      <c r="K51" s="152"/>
      <c r="L51" s="311"/>
      <c r="M51" s="131"/>
      <c r="P51" s="712"/>
    </row>
    <row r="52" spans="1:16">
      <c r="A52" s="44"/>
      <c r="B52" s="47" t="s">
        <v>46</v>
      </c>
      <c r="C52" s="48" t="s">
        <v>66</v>
      </c>
      <c r="D52" s="60">
        <v>20000000</v>
      </c>
      <c r="E52" s="125">
        <v>0</v>
      </c>
      <c r="F52" s="211">
        <v>0</v>
      </c>
      <c r="G52" s="199">
        <v>20000000</v>
      </c>
      <c r="H52" s="312">
        <f>G52/D52*100</f>
        <v>100</v>
      </c>
      <c r="I52" s="197">
        <f>G52</f>
        <v>20000000</v>
      </c>
      <c r="J52" s="301">
        <f>H52</f>
        <v>100</v>
      </c>
      <c r="K52" s="331">
        <f>10/12</f>
        <v>0.83333333333333337</v>
      </c>
      <c r="L52" s="301">
        <f>J52</f>
        <v>100</v>
      </c>
      <c r="M52" s="132"/>
      <c r="P52" s="712"/>
    </row>
    <row r="53" spans="1:16">
      <c r="A53" s="63"/>
      <c r="B53" s="83"/>
      <c r="C53" s="65" t="s">
        <v>45</v>
      </c>
      <c r="D53" s="66">
        <f>SUM(D52:D52)</f>
        <v>20000000</v>
      </c>
      <c r="E53" s="66">
        <f t="shared" ref="E53:F53" si="28">SUM(E50:E52)</f>
        <v>0</v>
      </c>
      <c r="F53" s="202">
        <f t="shared" si="28"/>
        <v>0</v>
      </c>
      <c r="G53" s="122">
        <f>SUM(G52)</f>
        <v>20000000</v>
      </c>
      <c r="H53" s="323">
        <f>G53/D53*100</f>
        <v>100</v>
      </c>
      <c r="I53" s="122">
        <f>SUM(I52)</f>
        <v>20000000</v>
      </c>
      <c r="J53" s="302">
        <f>H53</f>
        <v>100</v>
      </c>
      <c r="K53" s="356">
        <f>K52</f>
        <v>0.83333333333333337</v>
      </c>
      <c r="L53" s="302">
        <f>SUM(L52)</f>
        <v>100</v>
      </c>
      <c r="M53" s="66"/>
      <c r="P53" s="712"/>
    </row>
    <row r="54" spans="1:16">
      <c r="A54" s="84">
        <v>18</v>
      </c>
      <c r="B54" s="826" t="s">
        <v>96</v>
      </c>
      <c r="C54" s="827"/>
      <c r="D54" s="57"/>
      <c r="E54" s="119"/>
      <c r="F54" s="209"/>
      <c r="G54" s="119"/>
      <c r="H54" s="152"/>
      <c r="I54" s="119"/>
      <c r="J54" s="152"/>
      <c r="K54" s="152"/>
      <c r="L54" s="152"/>
      <c r="M54" s="131"/>
      <c r="P54" s="712"/>
    </row>
    <row r="55" spans="1:16">
      <c r="A55" s="84"/>
      <c r="B55" s="830" t="s">
        <v>95</v>
      </c>
      <c r="C55" s="831"/>
      <c r="D55" s="57"/>
      <c r="E55" s="124"/>
      <c r="F55" s="209"/>
      <c r="G55" s="119"/>
      <c r="H55" s="152"/>
      <c r="I55" s="119"/>
      <c r="J55" s="152"/>
      <c r="K55" s="152"/>
      <c r="L55" s="152"/>
      <c r="M55" s="131"/>
      <c r="P55" s="712"/>
    </row>
    <row r="56" spans="1:16">
      <c r="A56" s="44"/>
      <c r="B56" s="47" t="s">
        <v>26</v>
      </c>
      <c r="C56" s="48" t="s">
        <v>67</v>
      </c>
      <c r="D56" s="60">
        <v>20000000</v>
      </c>
      <c r="E56" s="125">
        <v>0</v>
      </c>
      <c r="F56" s="211">
        <v>0</v>
      </c>
      <c r="G56" s="199">
        <v>20000000</v>
      </c>
      <c r="H56" s="299">
        <f>G56/D56*100</f>
        <v>100</v>
      </c>
      <c r="I56" s="119">
        <f t="shared" ref="I56" si="29">G56</f>
        <v>20000000</v>
      </c>
      <c r="J56" s="301">
        <f>H56</f>
        <v>100</v>
      </c>
      <c r="K56" s="331">
        <f>10/12</f>
        <v>0.83333333333333337</v>
      </c>
      <c r="L56" s="301">
        <f>J56</f>
        <v>100</v>
      </c>
      <c r="M56" s="132"/>
      <c r="N56" s="161">
        <v>5000000</v>
      </c>
      <c r="P56" s="712"/>
    </row>
    <row r="57" spans="1:16">
      <c r="A57" s="44"/>
      <c r="B57" s="47" t="s">
        <v>29</v>
      </c>
      <c r="C57" s="204" t="s">
        <v>220</v>
      </c>
      <c r="D57" s="179">
        <v>7000000</v>
      </c>
      <c r="E57" s="180">
        <v>0</v>
      </c>
      <c r="F57" s="181">
        <v>0</v>
      </c>
      <c r="G57" s="207">
        <v>0</v>
      </c>
      <c r="H57" s="148" t="s">
        <v>132</v>
      </c>
      <c r="I57" s="119">
        <v>0</v>
      </c>
      <c r="J57" s="148" t="s">
        <v>132</v>
      </c>
      <c r="K57" s="59">
        <v>0</v>
      </c>
      <c r="L57" s="741">
        <v>0</v>
      </c>
      <c r="M57" s="165"/>
      <c r="P57" s="712"/>
    </row>
    <row r="58" spans="1:16" ht="15.75" thickBot="1">
      <c r="A58" s="44"/>
      <c r="B58" s="47"/>
      <c r="C58" s="48" t="s">
        <v>117</v>
      </c>
      <c r="D58" s="60"/>
      <c r="E58" s="125"/>
      <c r="F58" s="135"/>
      <c r="G58" s="199"/>
      <c r="H58" s="157"/>
      <c r="I58" s="197"/>
      <c r="J58" s="59"/>
      <c r="K58" s="59"/>
      <c r="L58" s="301"/>
      <c r="M58" s="132"/>
      <c r="P58" s="712"/>
    </row>
    <row r="59" spans="1:16" ht="15.75" thickBot="1">
      <c r="A59" s="63"/>
      <c r="B59" s="71"/>
      <c r="C59" s="65" t="s">
        <v>45</v>
      </c>
      <c r="D59" s="66">
        <f>SUM(D56:D58)</f>
        <v>27000000</v>
      </c>
      <c r="E59" s="66">
        <f t="shared" ref="E59" si="30">SUM(E56:E56)</f>
        <v>0</v>
      </c>
      <c r="F59" s="66">
        <f>SUM(F56:F56)</f>
        <v>0</v>
      </c>
      <c r="G59" s="122">
        <f>SUM(G56:G58)</f>
        <v>20000000</v>
      </c>
      <c r="H59" s="323">
        <f>G59/D59*100</f>
        <v>74.074074074074076</v>
      </c>
      <c r="I59" s="122">
        <f>SUM(I56:I58)</f>
        <v>20000000</v>
      </c>
      <c r="J59" s="302">
        <f>H59</f>
        <v>74.074074074074076</v>
      </c>
      <c r="K59" s="331">
        <f>10/12</f>
        <v>0.83333333333333337</v>
      </c>
      <c r="L59" s="302">
        <f t="shared" ref="L59" si="31">SUM(L56:L56)</f>
        <v>100</v>
      </c>
      <c r="M59" s="748"/>
      <c r="N59" s="749">
        <f>SUM(N56:N58)</f>
        <v>5000000</v>
      </c>
      <c r="P59" s="712"/>
    </row>
    <row r="60" spans="1:16">
      <c r="A60" s="84">
        <v>17</v>
      </c>
      <c r="B60" s="826" t="s">
        <v>130</v>
      </c>
      <c r="C60" s="827"/>
      <c r="D60" s="57"/>
      <c r="E60" s="119"/>
      <c r="F60" s="131"/>
      <c r="G60" s="119"/>
      <c r="H60" s="152"/>
      <c r="I60" s="119"/>
      <c r="J60" s="152"/>
      <c r="K60" s="152"/>
      <c r="L60" s="152"/>
      <c r="M60" s="131"/>
      <c r="P60" s="712"/>
    </row>
    <row r="61" spans="1:16">
      <c r="A61" s="44"/>
      <c r="B61" s="47" t="s">
        <v>53</v>
      </c>
      <c r="C61" s="48" t="s">
        <v>131</v>
      </c>
      <c r="D61" s="60">
        <v>24000000</v>
      </c>
      <c r="E61" s="125">
        <v>0</v>
      </c>
      <c r="F61" s="135">
        <v>0</v>
      </c>
      <c r="G61" s="197">
        <v>19000000</v>
      </c>
      <c r="H61" s="312">
        <f>G61/D61*100</f>
        <v>79.166666666666657</v>
      </c>
      <c r="I61" s="197">
        <f>G61</f>
        <v>19000000</v>
      </c>
      <c r="J61" s="301">
        <f>H61</f>
        <v>79.166666666666657</v>
      </c>
      <c r="K61" s="331">
        <f>10/12</f>
        <v>0.83333333333333337</v>
      </c>
      <c r="L61" s="301">
        <f>J61</f>
        <v>79.166666666666657</v>
      </c>
      <c r="M61" s="132"/>
      <c r="N61" s="161">
        <v>0</v>
      </c>
      <c r="P61" s="712"/>
    </row>
    <row r="62" spans="1:16">
      <c r="A62" s="63"/>
      <c r="B62" s="64"/>
      <c r="C62" s="65" t="s">
        <v>45</v>
      </c>
      <c r="D62" s="66">
        <f>SUM(D61:D61)</f>
        <v>24000000</v>
      </c>
      <c r="E62" s="66">
        <f t="shared" ref="E62:F62" si="32">SUM(E60:E61)</f>
        <v>0</v>
      </c>
      <c r="F62" s="66">
        <f t="shared" si="32"/>
        <v>0</v>
      </c>
      <c r="G62" s="122">
        <f>SUM(G61)</f>
        <v>19000000</v>
      </c>
      <c r="H62" s="323">
        <f>G62/D62*100</f>
        <v>79.166666666666657</v>
      </c>
      <c r="I62" s="122">
        <f>SUM(I61)</f>
        <v>19000000</v>
      </c>
      <c r="J62" s="302">
        <f>H62</f>
        <v>79.166666666666657</v>
      </c>
      <c r="K62" s="356">
        <f>K61</f>
        <v>0.83333333333333337</v>
      </c>
      <c r="L62" s="302">
        <f t="shared" ref="L62" si="33">SUM(L60:L61)</f>
        <v>79.166666666666657</v>
      </c>
      <c r="M62" s="66"/>
      <c r="P62" s="712"/>
    </row>
    <row r="63" spans="1:16">
      <c r="A63" s="44">
        <v>15</v>
      </c>
      <c r="B63" s="744" t="s">
        <v>68</v>
      </c>
      <c r="C63" s="86"/>
      <c r="D63" s="57"/>
      <c r="E63" s="119"/>
      <c r="F63" s="131"/>
      <c r="G63" s="119"/>
      <c r="H63" s="152"/>
      <c r="I63" s="119"/>
      <c r="J63" s="152"/>
      <c r="K63" s="152"/>
      <c r="L63" s="152"/>
      <c r="M63" s="131"/>
      <c r="P63" s="712"/>
    </row>
    <row r="64" spans="1:16" ht="26.25">
      <c r="A64" s="44"/>
      <c r="B64" s="49" t="s">
        <v>80</v>
      </c>
      <c r="C64" s="50" t="s">
        <v>118</v>
      </c>
      <c r="D64" s="62">
        <v>10000000</v>
      </c>
      <c r="E64" s="125">
        <v>0</v>
      </c>
      <c r="F64" s="135">
        <v>0</v>
      </c>
      <c r="G64" s="119" t="s">
        <v>132</v>
      </c>
      <c r="H64" s="59" t="s">
        <v>132</v>
      </c>
      <c r="I64" s="119" t="s">
        <v>132</v>
      </c>
      <c r="J64" s="59" t="s">
        <v>132</v>
      </c>
      <c r="K64" s="339"/>
      <c r="L64" s="59">
        <v>0</v>
      </c>
      <c r="M64" s="132"/>
      <c r="N64" s="161">
        <v>7500000</v>
      </c>
      <c r="P64" s="712"/>
    </row>
    <row r="65" spans="1:16" ht="15.75" thickBot="1">
      <c r="A65" s="44"/>
      <c r="B65" s="49" t="s">
        <v>69</v>
      </c>
      <c r="C65" s="50" t="s">
        <v>70</v>
      </c>
      <c r="D65" s="62">
        <v>60000000</v>
      </c>
      <c r="E65" s="125">
        <v>0</v>
      </c>
      <c r="F65" s="135">
        <v>0</v>
      </c>
      <c r="G65" s="197">
        <v>60000000</v>
      </c>
      <c r="H65" s="312">
        <f>G65/D65*100</f>
        <v>100</v>
      </c>
      <c r="I65" s="197">
        <f>G65</f>
        <v>60000000</v>
      </c>
      <c r="J65" s="301">
        <f>H65</f>
        <v>100</v>
      </c>
      <c r="K65" s="331">
        <f>10/12</f>
        <v>0.83333333333333337</v>
      </c>
      <c r="L65" s="301">
        <f>J65</f>
        <v>100</v>
      </c>
      <c r="M65" s="132"/>
      <c r="P65" s="712"/>
    </row>
    <row r="66" spans="1:16" ht="15.75" thickBot="1">
      <c r="A66" s="63"/>
      <c r="B66" s="64"/>
      <c r="C66" s="65" t="s">
        <v>45</v>
      </c>
      <c r="D66" s="66">
        <f>SUM(D64:D65)</f>
        <v>70000000</v>
      </c>
      <c r="E66" s="66">
        <f>SUM(E62:E65)</f>
        <v>0</v>
      </c>
      <c r="F66" s="66">
        <f>SUM(F62:F65)</f>
        <v>0</v>
      </c>
      <c r="G66" s="122">
        <f>SUM(G65)</f>
        <v>60000000</v>
      </c>
      <c r="H66" s="323">
        <f>G66/D66*100</f>
        <v>85.714285714285708</v>
      </c>
      <c r="I66" s="122">
        <f>SUM(I65)</f>
        <v>60000000</v>
      </c>
      <c r="J66" s="302">
        <f>H66</f>
        <v>85.714285714285708</v>
      </c>
      <c r="K66" s="356">
        <f>K65</f>
        <v>0.83333333333333337</v>
      </c>
      <c r="L66" s="302">
        <f>SUM(L62:L65)</f>
        <v>179.16666666666666</v>
      </c>
      <c r="M66" s="748"/>
      <c r="N66" s="749">
        <f>SUM(N64:N65)</f>
        <v>7500000</v>
      </c>
      <c r="P66" s="712"/>
    </row>
    <row r="67" spans="1:16">
      <c r="A67" s="44">
        <v>16</v>
      </c>
      <c r="B67" s="81" t="s">
        <v>71</v>
      </c>
      <c r="C67" s="82"/>
      <c r="D67" s="57"/>
      <c r="E67" s="119"/>
      <c r="F67" s="131"/>
      <c r="G67" s="119"/>
      <c r="H67" s="152"/>
      <c r="I67" s="119"/>
      <c r="J67" s="152"/>
      <c r="K67" s="152"/>
      <c r="L67" s="152"/>
      <c r="M67" s="131"/>
      <c r="P67" s="712"/>
    </row>
    <row r="68" spans="1:16">
      <c r="A68" s="44"/>
      <c r="B68" s="47" t="s">
        <v>72</v>
      </c>
      <c r="C68" s="48" t="s">
        <v>73</v>
      </c>
      <c r="D68" s="60">
        <v>5000000</v>
      </c>
      <c r="E68" s="120">
        <v>0</v>
      </c>
      <c r="F68" s="132">
        <v>0</v>
      </c>
      <c r="G68" s="120">
        <v>5000000</v>
      </c>
      <c r="H68" s="312">
        <f>G68/D68*100</f>
        <v>100</v>
      </c>
      <c r="I68" s="313">
        <f t="shared" ref="I68:I69" si="34">G68</f>
        <v>5000000</v>
      </c>
      <c r="J68" s="314">
        <f t="shared" ref="J68:J69" si="35">I68/D68*100</f>
        <v>100</v>
      </c>
      <c r="K68" s="331">
        <f>10/12</f>
        <v>0.83333333333333337</v>
      </c>
      <c r="L68" s="311">
        <f>J68</f>
        <v>100</v>
      </c>
      <c r="M68" s="132"/>
      <c r="P68" s="712"/>
    </row>
    <row r="69" spans="1:16">
      <c r="A69" s="63"/>
      <c r="B69" s="83"/>
      <c r="C69" s="65" t="s">
        <v>45</v>
      </c>
      <c r="D69" s="66">
        <f>SUM(D68:D68)</f>
        <v>5000000</v>
      </c>
      <c r="E69" s="122">
        <f>SUM(E68:E68)</f>
        <v>0</v>
      </c>
      <c r="F69" s="66">
        <f>SUM(F68:F68)</f>
        <v>0</v>
      </c>
      <c r="G69" s="195">
        <f>G68</f>
        <v>5000000</v>
      </c>
      <c r="H69" s="534">
        <f>G69/D69*100</f>
        <v>100</v>
      </c>
      <c r="I69" s="530">
        <f t="shared" si="34"/>
        <v>5000000</v>
      </c>
      <c r="J69" s="531">
        <f t="shared" si="35"/>
        <v>100</v>
      </c>
      <c r="K69" s="333">
        <f>SUM(K68)</f>
        <v>0.83333333333333337</v>
      </c>
      <c r="L69" s="302">
        <f>SUM(L68)</f>
        <v>100</v>
      </c>
      <c r="M69" s="66"/>
      <c r="P69" s="712"/>
    </row>
    <row r="70" spans="1:16">
      <c r="A70" s="87" t="s">
        <v>69</v>
      </c>
      <c r="B70" s="826" t="s">
        <v>89</v>
      </c>
      <c r="C70" s="827"/>
      <c r="D70" s="70"/>
      <c r="E70" s="123"/>
      <c r="F70" s="134"/>
      <c r="G70" s="123"/>
      <c r="H70" s="156"/>
      <c r="I70" s="123"/>
      <c r="J70" s="156"/>
      <c r="K70" s="156"/>
      <c r="L70" s="156"/>
      <c r="M70" s="134"/>
      <c r="P70" s="712"/>
    </row>
    <row r="71" spans="1:16">
      <c r="A71" s="88"/>
      <c r="B71" s="830" t="s">
        <v>88</v>
      </c>
      <c r="C71" s="831"/>
      <c r="D71" s="57"/>
      <c r="E71" s="119"/>
      <c r="F71" s="131"/>
      <c r="G71" s="119"/>
      <c r="H71" s="152"/>
      <c r="I71" s="119"/>
      <c r="J71" s="152"/>
      <c r="K71" s="152"/>
      <c r="L71" s="152"/>
      <c r="M71" s="131"/>
      <c r="P71" s="712"/>
    </row>
    <row r="72" spans="1:16">
      <c r="A72" s="89"/>
      <c r="B72" s="61" t="s">
        <v>26</v>
      </c>
      <c r="C72" s="90" t="s">
        <v>74</v>
      </c>
      <c r="D72" s="91">
        <v>15000000</v>
      </c>
      <c r="E72" s="126">
        <v>0</v>
      </c>
      <c r="F72" s="136">
        <v>0</v>
      </c>
      <c r="G72" s="126">
        <v>15000000</v>
      </c>
      <c r="H72" s="312">
        <f>G72/D72*100</f>
        <v>100</v>
      </c>
      <c r="I72" s="313">
        <f>G72</f>
        <v>15000000</v>
      </c>
      <c r="J72" s="314">
        <f t="shared" ref="J72:J73" si="36">I72/D72*100</f>
        <v>100</v>
      </c>
      <c r="K72" s="331">
        <f>10/12</f>
        <v>0.83333333333333337</v>
      </c>
      <c r="L72" s="311">
        <f>J72</f>
        <v>100</v>
      </c>
      <c r="M72" s="136"/>
      <c r="P72" s="712"/>
    </row>
    <row r="73" spans="1:16">
      <c r="A73" s="63"/>
      <c r="B73" s="83"/>
      <c r="C73" s="65" t="s">
        <v>45</v>
      </c>
      <c r="D73" s="66">
        <f>SUM(D72:D72)</f>
        <v>15000000</v>
      </c>
      <c r="E73" s="122">
        <f>SUM(E72:E72)</f>
        <v>0</v>
      </c>
      <c r="F73" s="66">
        <f>SUM(F72:F72)</f>
        <v>0</v>
      </c>
      <c r="G73" s="532">
        <f>SUM(G72)</f>
        <v>15000000</v>
      </c>
      <c r="H73" s="323">
        <f>G73/D73*100</f>
        <v>100</v>
      </c>
      <c r="I73" s="533">
        <f t="shared" ref="I73" si="37">G73</f>
        <v>15000000</v>
      </c>
      <c r="J73" s="340">
        <f t="shared" si="36"/>
        <v>100</v>
      </c>
      <c r="K73" s="333">
        <f>SUM(K72)</f>
        <v>0.83333333333333337</v>
      </c>
      <c r="L73" s="302">
        <f>SUM(L72)</f>
        <v>100</v>
      </c>
      <c r="M73" s="66"/>
      <c r="P73" s="712"/>
    </row>
    <row r="74" spans="1:16">
      <c r="A74" s="88"/>
      <c r="B74" s="826" t="s">
        <v>94</v>
      </c>
      <c r="C74" s="827"/>
      <c r="D74" s="57"/>
      <c r="E74" s="119"/>
      <c r="F74" s="131"/>
      <c r="G74" s="119"/>
      <c r="H74" s="152"/>
      <c r="I74" s="119"/>
      <c r="J74" s="152"/>
      <c r="K74" s="152"/>
      <c r="L74" s="152"/>
      <c r="M74" s="131"/>
      <c r="P74" s="712"/>
    </row>
    <row r="75" spans="1:16">
      <c r="A75" s="84"/>
      <c r="B75" s="92" t="s">
        <v>26</v>
      </c>
      <c r="C75" s="48" t="s">
        <v>134</v>
      </c>
      <c r="D75" s="60">
        <v>4000000</v>
      </c>
      <c r="E75" s="125">
        <v>0</v>
      </c>
      <c r="F75" s="135">
        <v>0</v>
      </c>
      <c r="G75" s="197">
        <v>4000000</v>
      </c>
      <c r="H75" s="312">
        <f>G75/D75*100</f>
        <v>100</v>
      </c>
      <c r="I75" s="197">
        <f>G75</f>
        <v>4000000</v>
      </c>
      <c r="J75" s="314">
        <f t="shared" ref="J75:J76" si="38">I75/D75*100</f>
        <v>100</v>
      </c>
      <c r="K75" s="331">
        <f>10/12</f>
        <v>0.83333333333333337</v>
      </c>
      <c r="L75" s="301">
        <f>J75</f>
        <v>100</v>
      </c>
      <c r="M75" s="132"/>
      <c r="P75" s="712"/>
    </row>
    <row r="76" spans="1:16">
      <c r="A76" s="93"/>
      <c r="B76" s="64"/>
      <c r="C76" s="65" t="s">
        <v>45</v>
      </c>
      <c r="D76" s="66">
        <f>SUM(D75:D75)</f>
        <v>4000000</v>
      </c>
      <c r="E76" s="66">
        <f t="shared" ref="E76:F76" si="39">SUM(E70:E75)</f>
        <v>0</v>
      </c>
      <c r="F76" s="66">
        <f t="shared" si="39"/>
        <v>0</v>
      </c>
      <c r="G76" s="122">
        <f>SUM(G75)</f>
        <v>4000000</v>
      </c>
      <c r="H76" s="323">
        <f>G76/D76*100</f>
        <v>100</v>
      </c>
      <c r="I76" s="533">
        <f t="shared" ref="I76" si="40">G76</f>
        <v>4000000</v>
      </c>
      <c r="J76" s="340">
        <f t="shared" si="38"/>
        <v>100</v>
      </c>
      <c r="K76" s="356">
        <f>K75</f>
        <v>0.83333333333333337</v>
      </c>
      <c r="L76" s="302">
        <f>J76</f>
        <v>100</v>
      </c>
      <c r="M76" s="66"/>
      <c r="P76" s="712"/>
    </row>
    <row r="77" spans="1:16">
      <c r="A77" s="84">
        <v>16</v>
      </c>
      <c r="B77" s="826" t="s">
        <v>75</v>
      </c>
      <c r="C77" s="827"/>
      <c r="D77" s="57"/>
      <c r="E77" s="119"/>
      <c r="F77" s="131"/>
      <c r="G77" s="119"/>
      <c r="H77" s="156"/>
      <c r="I77" s="123"/>
      <c r="J77" s="152"/>
      <c r="K77" s="152"/>
      <c r="L77" s="152"/>
      <c r="M77" s="131"/>
      <c r="P77" s="712"/>
    </row>
    <row r="78" spans="1:16" ht="15.75" thickBot="1">
      <c r="A78" s="84"/>
      <c r="B78" s="94" t="s">
        <v>72</v>
      </c>
      <c r="C78" s="95" t="s">
        <v>103</v>
      </c>
      <c r="D78" s="80">
        <v>10000000</v>
      </c>
      <c r="E78" s="124"/>
      <c r="F78" s="131"/>
      <c r="G78" s="218">
        <v>9000000</v>
      </c>
      <c r="H78" s="312">
        <f>G78/D78*100</f>
        <v>90</v>
      </c>
      <c r="I78" s="313">
        <f t="shared" ref="I78" si="41">G78</f>
        <v>9000000</v>
      </c>
      <c r="J78" s="314">
        <f t="shared" ref="J78" si="42">I78/D78*100</f>
        <v>90</v>
      </c>
      <c r="K78" s="331">
        <f>10/12</f>
        <v>0.83333333333333337</v>
      </c>
      <c r="L78" s="311">
        <f>J78</f>
        <v>90</v>
      </c>
      <c r="M78" s="131"/>
      <c r="N78" s="161">
        <v>1000000</v>
      </c>
      <c r="P78" s="712"/>
    </row>
    <row r="79" spans="1:16" ht="15.75" thickBot="1">
      <c r="A79" s="93"/>
      <c r="B79" s="83"/>
      <c r="C79" s="65" t="s">
        <v>45</v>
      </c>
      <c r="D79" s="66">
        <f>SUM(D78)</f>
        <v>10000000</v>
      </c>
      <c r="E79" s="66">
        <f t="shared" ref="E79:F79" si="43">SUM(E77:E78)</f>
        <v>0</v>
      </c>
      <c r="F79" s="66">
        <f t="shared" si="43"/>
        <v>0</v>
      </c>
      <c r="G79" s="122">
        <f>SUM(G78)</f>
        <v>9000000</v>
      </c>
      <c r="H79" s="302">
        <f t="shared" ref="H79:J79" si="44">SUM(H78)</f>
        <v>90</v>
      </c>
      <c r="I79" s="122">
        <f t="shared" si="44"/>
        <v>9000000</v>
      </c>
      <c r="J79" s="302">
        <f t="shared" si="44"/>
        <v>90</v>
      </c>
      <c r="K79" s="333">
        <f>SUM(K78)</f>
        <v>0.83333333333333337</v>
      </c>
      <c r="L79" s="302">
        <f t="shared" ref="L79" si="45">SUM(L78)</f>
        <v>90</v>
      </c>
      <c r="M79" s="748"/>
      <c r="N79" s="749">
        <f>SUM(N78)</f>
        <v>1000000</v>
      </c>
      <c r="P79" s="712"/>
    </row>
    <row r="80" spans="1:16">
      <c r="A80" s="84">
        <v>22</v>
      </c>
      <c r="B80" s="826" t="s">
        <v>87</v>
      </c>
      <c r="C80" s="827"/>
      <c r="D80" s="57"/>
      <c r="E80" s="119"/>
      <c r="F80" s="131"/>
      <c r="G80" s="119"/>
      <c r="H80" s="152"/>
      <c r="I80" s="119"/>
      <c r="J80" s="152"/>
      <c r="K80" s="152"/>
      <c r="L80" s="152"/>
      <c r="M80" s="131"/>
      <c r="P80" s="712"/>
    </row>
    <row r="81" spans="1:16" ht="26.25" thickBot="1">
      <c r="A81" s="84"/>
      <c r="B81" s="47" t="s">
        <v>26</v>
      </c>
      <c r="C81" s="95" t="s">
        <v>76</v>
      </c>
      <c r="D81" s="60">
        <v>3500000</v>
      </c>
      <c r="E81" s="125">
        <v>0</v>
      </c>
      <c r="F81" s="135">
        <v>0</v>
      </c>
      <c r="G81" s="197">
        <f>875000+875000+875000</f>
        <v>2625000</v>
      </c>
      <c r="H81" s="312">
        <f>G81/D81*100</f>
        <v>75</v>
      </c>
      <c r="I81" s="197">
        <f>G81</f>
        <v>2625000</v>
      </c>
      <c r="J81" s="314">
        <f t="shared" ref="J81:J82" si="46">I81/D81*100</f>
        <v>75</v>
      </c>
      <c r="K81" s="331">
        <f>10/12</f>
        <v>0.83333333333333337</v>
      </c>
      <c r="L81" s="311">
        <f>J81</f>
        <v>75</v>
      </c>
      <c r="M81" s="132"/>
      <c r="N81" s="161">
        <v>875000</v>
      </c>
      <c r="P81" s="712"/>
    </row>
    <row r="82" spans="1:16" ht="15.75" thickBot="1">
      <c r="A82" s="63"/>
      <c r="B82" s="83"/>
      <c r="C82" s="65" t="s">
        <v>45</v>
      </c>
      <c r="D82" s="66">
        <f>SUM(D81:D81)</f>
        <v>3500000</v>
      </c>
      <c r="E82" s="66">
        <f t="shared" ref="E82:F82" si="47">SUM(E79:E81)</f>
        <v>0</v>
      </c>
      <c r="F82" s="66">
        <f t="shared" si="47"/>
        <v>0</v>
      </c>
      <c r="G82" s="122">
        <f>SUM(G81)</f>
        <v>2625000</v>
      </c>
      <c r="H82" s="535">
        <f>G82/D82*100</f>
        <v>75</v>
      </c>
      <c r="I82" s="122">
        <f>SUM(I81)</f>
        <v>2625000</v>
      </c>
      <c r="J82" s="536">
        <f t="shared" si="46"/>
        <v>75</v>
      </c>
      <c r="K82" s="333">
        <f>SUM(K81)</f>
        <v>0.83333333333333337</v>
      </c>
      <c r="L82" s="302">
        <f>SUM(L81)</f>
        <v>75</v>
      </c>
      <c r="M82" s="748"/>
      <c r="N82" s="749">
        <f>SUM(N81)</f>
        <v>875000</v>
      </c>
      <c r="P82" s="712"/>
    </row>
    <row r="83" spans="1:16">
      <c r="A83" s="44">
        <v>17</v>
      </c>
      <c r="B83" s="822" t="s">
        <v>56</v>
      </c>
      <c r="C83" s="823"/>
      <c r="D83" s="57"/>
      <c r="E83" s="119"/>
      <c r="F83" s="131"/>
      <c r="G83" s="119"/>
      <c r="H83" s="152"/>
      <c r="I83" s="119"/>
      <c r="J83" s="152"/>
      <c r="K83" s="152"/>
      <c r="L83" s="152"/>
      <c r="M83" s="131"/>
      <c r="P83" s="712"/>
    </row>
    <row r="84" spans="1:16">
      <c r="A84" s="44"/>
      <c r="B84" s="47">
        <v>19</v>
      </c>
      <c r="C84" s="824" t="s">
        <v>91</v>
      </c>
      <c r="E84" s="120"/>
      <c r="F84" s="132"/>
      <c r="G84" s="119"/>
      <c r="H84" s="59"/>
      <c r="I84" s="119"/>
      <c r="J84" s="59"/>
      <c r="K84" s="59"/>
      <c r="L84" s="59"/>
      <c r="M84" s="132"/>
      <c r="P84" s="712"/>
    </row>
    <row r="85" spans="1:16" ht="15.75" thickBot="1">
      <c r="A85" s="44"/>
      <c r="B85" s="163"/>
      <c r="C85" s="825"/>
      <c r="D85" s="60">
        <v>25000000</v>
      </c>
      <c r="E85" s="164">
        <v>0</v>
      </c>
      <c r="F85" s="165">
        <v>0</v>
      </c>
      <c r="G85" s="330">
        <v>18750000</v>
      </c>
      <c r="H85" s="312">
        <f>G85/D85*100</f>
        <v>75</v>
      </c>
      <c r="I85" s="197">
        <f>G85</f>
        <v>18750000</v>
      </c>
      <c r="J85" s="314">
        <f t="shared" ref="J85" si="48">I85/D85*100</f>
        <v>75</v>
      </c>
      <c r="K85" s="331">
        <f>10/12</f>
        <v>0.83333333333333337</v>
      </c>
      <c r="L85" s="314">
        <f>J85</f>
        <v>75</v>
      </c>
      <c r="M85" s="165"/>
      <c r="N85" s="161">
        <v>6250000</v>
      </c>
      <c r="P85" s="712"/>
    </row>
    <row r="86" spans="1:16" ht="15.75" thickBot="1">
      <c r="A86" s="63"/>
      <c r="B86" s="96"/>
      <c r="C86" s="65" t="s">
        <v>45</v>
      </c>
      <c r="D86" s="66">
        <f>SUM(D85:D85)</f>
        <v>25000000</v>
      </c>
      <c r="E86" s="122">
        <f>SUM(E84:E84)</f>
        <v>0</v>
      </c>
      <c r="F86" s="137">
        <f>SUM(F84:F84)</f>
        <v>0</v>
      </c>
      <c r="G86" s="122">
        <f>SUM(G85)</f>
        <v>18750000</v>
      </c>
      <c r="H86" s="302">
        <f>SUM(H85)</f>
        <v>75</v>
      </c>
      <c r="I86" s="122">
        <f>SUM(I85)</f>
        <v>18750000</v>
      </c>
      <c r="J86" s="324">
        <f>SUM(J85)</f>
        <v>75</v>
      </c>
      <c r="K86" s="333">
        <f>SUM(K85)</f>
        <v>0.83333333333333337</v>
      </c>
      <c r="L86" s="340">
        <f>J86</f>
        <v>75</v>
      </c>
      <c r="M86" s="750"/>
      <c r="N86" s="749">
        <f>SUM(N85)</f>
        <v>6250000</v>
      </c>
      <c r="P86" s="712"/>
    </row>
    <row r="87" spans="1:16">
      <c r="A87" s="44">
        <v>19</v>
      </c>
      <c r="B87" s="826" t="s">
        <v>57</v>
      </c>
      <c r="C87" s="827"/>
      <c r="D87" s="57"/>
      <c r="E87" s="119"/>
      <c r="F87" s="131"/>
      <c r="G87" s="119"/>
      <c r="H87" s="152"/>
      <c r="I87" s="119"/>
      <c r="J87" s="152"/>
      <c r="K87" s="152"/>
      <c r="L87" s="152"/>
      <c r="M87" s="131"/>
      <c r="P87" s="712"/>
    </row>
    <row r="88" spans="1:16">
      <c r="A88" s="44"/>
      <c r="B88" s="47" t="s">
        <v>26</v>
      </c>
      <c r="C88" s="48" t="s">
        <v>58</v>
      </c>
      <c r="D88" s="60">
        <v>15000000</v>
      </c>
      <c r="E88" s="120">
        <v>0</v>
      </c>
      <c r="F88" s="132">
        <v>0</v>
      </c>
      <c r="G88" s="197">
        <v>15000000</v>
      </c>
      <c r="H88" s="59">
        <f>G88/D88*100</f>
        <v>100</v>
      </c>
      <c r="I88" s="197">
        <f>G88</f>
        <v>15000000</v>
      </c>
      <c r="J88" s="301">
        <f>I88/D88*100</f>
        <v>100</v>
      </c>
      <c r="K88" s="331">
        <f>10/12</f>
        <v>0.83333333333333337</v>
      </c>
      <c r="L88" s="311">
        <f>J88</f>
        <v>100</v>
      </c>
      <c r="M88" s="132"/>
      <c r="P88" s="712"/>
    </row>
    <row r="89" spans="1:16">
      <c r="A89" s="183"/>
      <c r="B89" s="64"/>
      <c r="C89" s="65" t="s">
        <v>45</v>
      </c>
      <c r="D89" s="66">
        <f>SUM(D88)</f>
        <v>15000000</v>
      </c>
      <c r="E89" s="122">
        <f>SUM(E86:E86)</f>
        <v>0</v>
      </c>
      <c r="F89" s="66">
        <f>SUM(F86:F86)</f>
        <v>0</v>
      </c>
      <c r="G89" s="122">
        <f>G88</f>
        <v>15000000</v>
      </c>
      <c r="H89" s="66">
        <f>G89/D89*100</f>
        <v>100</v>
      </c>
      <c r="I89" s="122">
        <f>I88</f>
        <v>15000000</v>
      </c>
      <c r="J89" s="324">
        <f>I89/D89*100</f>
        <v>100</v>
      </c>
      <c r="K89" s="333">
        <f>SUM(K88)</f>
        <v>0.83333333333333337</v>
      </c>
      <c r="L89" s="302">
        <f>SUM(L88)</f>
        <v>100</v>
      </c>
      <c r="M89" s="66"/>
      <c r="P89" s="712"/>
    </row>
    <row r="90" spans="1:16">
      <c r="A90" s="44">
        <v>32</v>
      </c>
      <c r="B90" s="97" t="s">
        <v>59</v>
      </c>
      <c r="C90" s="98"/>
      <c r="D90" s="57"/>
      <c r="E90" s="119"/>
      <c r="F90" s="131"/>
      <c r="G90" s="119"/>
      <c r="H90" s="152"/>
      <c r="I90" s="119"/>
      <c r="J90" s="152"/>
      <c r="K90" s="152"/>
      <c r="L90" s="152"/>
      <c r="M90" s="131"/>
      <c r="P90" s="712"/>
    </row>
    <row r="91" spans="1:16" ht="15.75" thickBot="1">
      <c r="A91" s="44"/>
      <c r="B91" s="47" t="s">
        <v>26</v>
      </c>
      <c r="C91" s="58" t="s">
        <v>60</v>
      </c>
      <c r="D91" s="60">
        <v>15000000</v>
      </c>
      <c r="E91" s="120">
        <v>0</v>
      </c>
      <c r="F91" s="132">
        <v>0</v>
      </c>
      <c r="G91" s="197">
        <f>750000+225000+ 1500000+750000+7500000+3525000</f>
        <v>14250000</v>
      </c>
      <c r="H91" s="301">
        <f>G91/D91*100</f>
        <v>95</v>
      </c>
      <c r="I91" s="192">
        <f>G91</f>
        <v>14250000</v>
      </c>
      <c r="J91" s="301">
        <f>I91/D91*100</f>
        <v>95</v>
      </c>
      <c r="K91" s="331">
        <f>10/12</f>
        <v>0.83333333333333337</v>
      </c>
      <c r="L91" s="311">
        <f>J91</f>
        <v>95</v>
      </c>
      <c r="M91" s="132"/>
      <c r="N91" s="161">
        <v>750000</v>
      </c>
      <c r="P91" s="712"/>
    </row>
    <row r="92" spans="1:16" ht="15.75" thickBot="1">
      <c r="A92" s="63"/>
      <c r="B92" s="64"/>
      <c r="C92" s="65" t="s">
        <v>45</v>
      </c>
      <c r="D92" s="66">
        <f>SUM(D91)</f>
        <v>15000000</v>
      </c>
      <c r="E92" s="122">
        <f>SUM(E91:E91)</f>
        <v>0</v>
      </c>
      <c r="F92" s="66">
        <f>SUM(F91:F91)</f>
        <v>0</v>
      </c>
      <c r="G92" s="122">
        <f>G91</f>
        <v>14250000</v>
      </c>
      <c r="H92" s="302">
        <f>G92/D92*100</f>
        <v>95</v>
      </c>
      <c r="I92" s="122">
        <f>I91</f>
        <v>14250000</v>
      </c>
      <c r="J92" s="302">
        <f>I92/D92*100</f>
        <v>95</v>
      </c>
      <c r="K92" s="333">
        <f>SUM(K91:K91)</f>
        <v>0.83333333333333337</v>
      </c>
      <c r="L92" s="302">
        <f>SUM(L91:L91)</f>
        <v>95</v>
      </c>
      <c r="M92" s="748"/>
      <c r="N92" s="749">
        <f>SUM(N91)</f>
        <v>750000</v>
      </c>
      <c r="P92" s="712"/>
    </row>
    <row r="93" spans="1:16">
      <c r="A93" s="99">
        <v>15</v>
      </c>
      <c r="B93" s="100" t="s">
        <v>77</v>
      </c>
      <c r="C93" s="742"/>
      <c r="D93" s="70"/>
      <c r="E93" s="123"/>
      <c r="F93" s="134"/>
      <c r="G93" s="123"/>
      <c r="H93" s="156"/>
      <c r="I93" s="123"/>
      <c r="J93" s="144"/>
      <c r="K93" s="156"/>
      <c r="L93" s="156"/>
      <c r="M93" s="134"/>
      <c r="P93" s="712"/>
    </row>
    <row r="94" spans="1:16">
      <c r="A94" s="84"/>
      <c r="B94" s="101" t="s">
        <v>78</v>
      </c>
      <c r="C94" s="48"/>
      <c r="D94" s="102"/>
      <c r="E94" s="119"/>
      <c r="F94" s="131"/>
      <c r="G94" s="119"/>
      <c r="H94" s="152"/>
      <c r="I94" s="119"/>
      <c r="J94" s="59"/>
      <c r="K94" s="152"/>
      <c r="L94" s="152"/>
      <c r="M94" s="131"/>
      <c r="P94" s="712"/>
    </row>
    <row r="95" spans="1:16">
      <c r="A95" s="44"/>
      <c r="B95" s="47" t="s">
        <v>26</v>
      </c>
      <c r="C95" s="48" t="s">
        <v>79</v>
      </c>
      <c r="D95" s="60">
        <v>5000000</v>
      </c>
      <c r="E95" s="120">
        <v>0</v>
      </c>
      <c r="F95" s="132">
        <v>0</v>
      </c>
      <c r="G95" s="199">
        <v>5000000</v>
      </c>
      <c r="H95" s="59">
        <f>G95/D95*100</f>
        <v>100</v>
      </c>
      <c r="I95" s="199">
        <f>G95</f>
        <v>5000000</v>
      </c>
      <c r="J95" s="301">
        <f>I95/D95*100</f>
        <v>100</v>
      </c>
      <c r="K95" s="331">
        <f>10/12</f>
        <v>0.83333333333333337</v>
      </c>
      <c r="L95" s="301">
        <f>J95</f>
        <v>100</v>
      </c>
      <c r="M95" s="132"/>
      <c r="P95" s="712"/>
    </row>
    <row r="96" spans="1:16">
      <c r="A96" s="89"/>
      <c r="B96" s="61" t="s">
        <v>80</v>
      </c>
      <c r="C96" s="103" t="s">
        <v>104</v>
      </c>
      <c r="D96" s="91">
        <v>15000000</v>
      </c>
      <c r="E96" s="127">
        <v>0</v>
      </c>
      <c r="F96" s="138">
        <v>0</v>
      </c>
      <c r="G96" s="197">
        <v>15000000</v>
      </c>
      <c r="H96" s="59">
        <f>G96/D96*100</f>
        <v>100</v>
      </c>
      <c r="I96" s="197">
        <f>G96</f>
        <v>15000000</v>
      </c>
      <c r="J96" s="301">
        <f>I96/D96*100</f>
        <v>100</v>
      </c>
      <c r="K96" s="331">
        <f>10/12</f>
        <v>0.83333333333333337</v>
      </c>
      <c r="L96" s="301">
        <f>J96</f>
        <v>100</v>
      </c>
      <c r="M96" s="136"/>
      <c r="P96" s="712"/>
    </row>
    <row r="97" spans="1:16">
      <c r="A97" s="93"/>
      <c r="B97" s="83"/>
      <c r="C97" s="65" t="s">
        <v>45</v>
      </c>
      <c r="D97" s="66">
        <f>SUM(D95:D96)</f>
        <v>20000000</v>
      </c>
      <c r="E97" s="66">
        <f>SUM(E95:E96)</f>
        <v>0</v>
      </c>
      <c r="F97" s="66">
        <f t="shared" ref="F97" si="49">SUM(F95:F96)</f>
        <v>0</v>
      </c>
      <c r="G97" s="122">
        <f>SUM(G95:G96)</f>
        <v>20000000</v>
      </c>
      <c r="H97" s="302">
        <f>G97/D97*100</f>
        <v>100</v>
      </c>
      <c r="I97" s="537">
        <f>SUM(I95:I96)</f>
        <v>20000000</v>
      </c>
      <c r="J97" s="302">
        <f>I97/D97*100</f>
        <v>100</v>
      </c>
      <c r="K97" s="356">
        <f>K96</f>
        <v>0.83333333333333337</v>
      </c>
      <c r="L97" s="302">
        <f>L96</f>
        <v>100</v>
      </c>
      <c r="M97" s="66"/>
      <c r="P97" s="712"/>
    </row>
    <row r="98" spans="1:16">
      <c r="A98" s="84">
        <v>18</v>
      </c>
      <c r="B98" s="75" t="s">
        <v>82</v>
      </c>
      <c r="C98" s="76"/>
      <c r="D98" s="57"/>
      <c r="E98" s="119"/>
      <c r="F98" s="131"/>
      <c r="G98" s="119"/>
      <c r="H98" s="152"/>
      <c r="I98" s="119"/>
      <c r="J98" s="152"/>
      <c r="K98" s="152"/>
      <c r="L98" s="152"/>
      <c r="M98" s="131"/>
      <c r="P98" s="712"/>
    </row>
    <row r="99" spans="1:16" ht="26.25">
      <c r="A99" s="84"/>
      <c r="B99" s="94" t="s">
        <v>29</v>
      </c>
      <c r="C99" s="48" t="s">
        <v>92</v>
      </c>
      <c r="D99" s="60">
        <v>7500000</v>
      </c>
      <c r="E99" s="120">
        <v>0</v>
      </c>
      <c r="F99" s="132">
        <v>0</v>
      </c>
      <c r="G99" s="199">
        <v>7500000</v>
      </c>
      <c r="H99" s="301">
        <f>G99/D99*100</f>
        <v>100</v>
      </c>
      <c r="I99" s="192">
        <f>G99</f>
        <v>7500000</v>
      </c>
      <c r="J99" s="301">
        <f>I99/D99*100</f>
        <v>100</v>
      </c>
      <c r="K99" s="331">
        <f>10/12</f>
        <v>0.83333333333333337</v>
      </c>
      <c r="L99" s="311">
        <f>J99</f>
        <v>100</v>
      </c>
      <c r="M99" s="131"/>
      <c r="P99" s="712"/>
    </row>
    <row r="100" spans="1:16" ht="26.25">
      <c r="A100" s="84"/>
      <c r="B100" s="94" t="s">
        <v>83</v>
      </c>
      <c r="C100" s="48" t="s">
        <v>93</v>
      </c>
      <c r="D100" s="62">
        <v>10000000</v>
      </c>
      <c r="E100" s="121">
        <v>0</v>
      </c>
      <c r="F100" s="133">
        <v>0</v>
      </c>
      <c r="G100" s="200">
        <v>10000000</v>
      </c>
      <c r="H100" s="301">
        <f>G100/D100*100</f>
        <v>100</v>
      </c>
      <c r="I100" s="200">
        <f>G100</f>
        <v>10000000</v>
      </c>
      <c r="J100" s="301">
        <f>I100/D100*100</f>
        <v>100</v>
      </c>
      <c r="K100" s="331">
        <f>10/12</f>
        <v>0.83333333333333337</v>
      </c>
      <c r="L100" s="311">
        <f>J100</f>
        <v>100</v>
      </c>
      <c r="M100" s="131"/>
      <c r="P100" s="712"/>
    </row>
    <row r="101" spans="1:16">
      <c r="A101" s="93"/>
      <c r="B101" s="64"/>
      <c r="C101" s="65" t="s">
        <v>45</v>
      </c>
      <c r="D101" s="66">
        <f>SUM(D99:D100)</f>
        <v>17500000</v>
      </c>
      <c r="E101" s="66">
        <f t="shared" ref="E101:F101" si="50">SUM(E99:E100)</f>
        <v>0</v>
      </c>
      <c r="F101" s="66">
        <f t="shared" si="50"/>
        <v>0</v>
      </c>
      <c r="G101" s="122">
        <f>SUM(G99:G100)</f>
        <v>17500000</v>
      </c>
      <c r="H101" s="302">
        <f>G101/D101*100</f>
        <v>100</v>
      </c>
      <c r="I101" s="122">
        <f t="shared" ref="I101" si="51">SUM(I99:I100)</f>
        <v>17500000</v>
      </c>
      <c r="J101" s="302">
        <f>I101/D101*100</f>
        <v>100</v>
      </c>
      <c r="K101" s="356">
        <f>K100</f>
        <v>0.83333333333333337</v>
      </c>
      <c r="L101" s="302">
        <f>SUM(L100:L100)</f>
        <v>100</v>
      </c>
      <c r="M101" s="66"/>
      <c r="P101" s="712"/>
    </row>
    <row r="102" spans="1:16">
      <c r="A102" s="99">
        <v>26</v>
      </c>
      <c r="B102" s="104" t="s">
        <v>105</v>
      </c>
      <c r="C102" s="105"/>
      <c r="D102" s="57"/>
      <c r="E102" s="119"/>
      <c r="F102" s="131"/>
      <c r="G102" s="119"/>
      <c r="H102" s="152"/>
      <c r="I102" s="119"/>
      <c r="J102" s="152"/>
      <c r="K102" s="152"/>
      <c r="L102" s="152"/>
      <c r="M102" s="131"/>
      <c r="P102" s="712"/>
    </row>
    <row r="103" spans="1:16">
      <c r="A103" s="44"/>
      <c r="B103" s="47" t="s">
        <v>84</v>
      </c>
      <c r="C103" s="48" t="s">
        <v>106</v>
      </c>
      <c r="D103" s="60">
        <v>5000000</v>
      </c>
      <c r="E103" s="120" t="s">
        <v>132</v>
      </c>
      <c r="F103" s="132">
        <v>0</v>
      </c>
      <c r="G103" s="120">
        <v>5000000</v>
      </c>
      <c r="H103" s="301">
        <f>G103/D103*100</f>
        <v>100</v>
      </c>
      <c r="I103" s="192">
        <f>G103</f>
        <v>5000000</v>
      </c>
      <c r="J103" s="301">
        <f>I103/D103*100</f>
        <v>100</v>
      </c>
      <c r="K103" s="349">
        <f>10/12</f>
        <v>0.83333333333333337</v>
      </c>
      <c r="L103" s="59">
        <f>J103</f>
        <v>100</v>
      </c>
      <c r="M103" s="132"/>
      <c r="P103" s="712"/>
    </row>
    <row r="104" spans="1:16">
      <c r="A104" s="63"/>
      <c r="B104" s="64"/>
      <c r="C104" s="65" t="s">
        <v>45</v>
      </c>
      <c r="D104" s="66">
        <f>SUM(D103)</f>
        <v>5000000</v>
      </c>
      <c r="E104" s="66">
        <v>0</v>
      </c>
      <c r="F104" s="66">
        <f t="shared" ref="F104" si="52">SUM(F101:F103)</f>
        <v>0</v>
      </c>
      <c r="G104" s="122">
        <f>SUM(G103)</f>
        <v>5000000</v>
      </c>
      <c r="H104" s="302">
        <f>G104/D104*100</f>
        <v>100</v>
      </c>
      <c r="I104" s="122">
        <f>SUM(I103)</f>
        <v>5000000</v>
      </c>
      <c r="J104" s="302">
        <f>I104/D104*100</f>
        <v>100</v>
      </c>
      <c r="K104" s="350">
        <f>10/12</f>
        <v>0.83333333333333337</v>
      </c>
      <c r="L104" s="66">
        <f>J104</f>
        <v>100</v>
      </c>
      <c r="M104" s="66"/>
      <c r="P104" s="712"/>
    </row>
    <row r="105" spans="1:16">
      <c r="A105" s="99">
        <v>16</v>
      </c>
      <c r="B105" s="104" t="s">
        <v>123</v>
      </c>
      <c r="C105" s="105"/>
      <c r="D105" s="57"/>
      <c r="E105" s="119"/>
      <c r="F105" s="131"/>
      <c r="G105" s="119"/>
      <c r="H105" s="152"/>
      <c r="I105" s="119"/>
      <c r="J105" s="152"/>
      <c r="K105" s="152"/>
      <c r="L105" s="152"/>
      <c r="M105" s="131"/>
      <c r="P105" s="712"/>
    </row>
    <row r="106" spans="1:16">
      <c r="A106" s="84"/>
      <c r="B106" s="185" t="s">
        <v>124</v>
      </c>
      <c r="C106" s="186"/>
      <c r="D106" s="182"/>
      <c r="E106" s="124"/>
      <c r="F106" s="131"/>
      <c r="G106" s="131"/>
      <c r="H106" s="152"/>
      <c r="I106" s="131"/>
      <c r="J106" s="152"/>
      <c r="K106" s="152"/>
      <c r="L106" s="152"/>
      <c r="M106" s="152"/>
      <c r="P106" s="712"/>
    </row>
    <row r="107" spans="1:16" ht="26.25">
      <c r="A107" s="44"/>
      <c r="B107" s="282" t="s">
        <v>46</v>
      </c>
      <c r="C107" s="50" t="s">
        <v>217</v>
      </c>
      <c r="D107" s="60">
        <v>27000000</v>
      </c>
      <c r="E107" s="125">
        <v>0</v>
      </c>
      <c r="F107" s="135">
        <v>0</v>
      </c>
      <c r="G107" s="124">
        <v>0</v>
      </c>
      <c r="H107" s="59" t="s">
        <v>132</v>
      </c>
      <c r="I107" s="124">
        <v>0</v>
      </c>
      <c r="J107" s="59" t="s">
        <v>132</v>
      </c>
      <c r="K107" s="59">
        <v>0</v>
      </c>
      <c r="L107" s="59">
        <v>0</v>
      </c>
      <c r="M107" s="59"/>
      <c r="P107" s="712"/>
    </row>
    <row r="108" spans="1:16">
      <c r="A108" s="44"/>
      <c r="B108" s="163" t="s">
        <v>111</v>
      </c>
      <c r="C108" s="204" t="s">
        <v>81</v>
      </c>
      <c r="D108" s="205">
        <v>3000000</v>
      </c>
      <c r="E108" s="125">
        <v>0</v>
      </c>
      <c r="F108" s="135">
        <v>0</v>
      </c>
      <c r="G108" s="201">
        <v>3000000</v>
      </c>
      <c r="H108" s="301">
        <f>G108/D108*100</f>
        <v>100</v>
      </c>
      <c r="I108" s="201">
        <f>G108</f>
        <v>3000000</v>
      </c>
      <c r="J108" s="528">
        <f>I108/D108*100</f>
        <v>100</v>
      </c>
      <c r="K108" s="349">
        <f>10/12</f>
        <v>0.83333333333333337</v>
      </c>
      <c r="L108" s="187">
        <f>J108</f>
        <v>100</v>
      </c>
      <c r="M108" s="188"/>
      <c r="P108" s="712"/>
    </row>
    <row r="109" spans="1:16">
      <c r="A109" s="63"/>
      <c r="B109" s="64"/>
      <c r="C109" s="65" t="s">
        <v>45</v>
      </c>
      <c r="D109" s="66">
        <f>SUM(D107:D108)</f>
        <v>30000000</v>
      </c>
      <c r="E109" s="66">
        <f>SUM(E107:E108)</f>
        <v>0</v>
      </c>
      <c r="F109" s="66">
        <f>SUM(F107:F108)</f>
        <v>0</v>
      </c>
      <c r="G109" s="122">
        <f>SUM(G108)</f>
        <v>3000000</v>
      </c>
      <c r="H109" s="302">
        <f>G109/D109*100</f>
        <v>10</v>
      </c>
      <c r="I109" s="122">
        <f>SUM(I107:I108)</f>
        <v>3000000</v>
      </c>
      <c r="J109" s="324">
        <f>I109/D109*100</f>
        <v>10</v>
      </c>
      <c r="K109" s="350">
        <f>10/12</f>
        <v>0.83333333333333337</v>
      </c>
      <c r="L109" s="66">
        <f>SUM(L107:L108)</f>
        <v>100</v>
      </c>
      <c r="M109" s="66"/>
      <c r="P109" s="712"/>
    </row>
    <row r="110" spans="1:16">
      <c r="A110" s="99">
        <v>17</v>
      </c>
      <c r="B110" s="104" t="s">
        <v>127</v>
      </c>
      <c r="C110" s="105"/>
      <c r="D110" s="57"/>
      <c r="E110" s="119"/>
      <c r="F110" s="131"/>
      <c r="G110" s="119"/>
      <c r="H110" s="152"/>
      <c r="I110" s="119"/>
      <c r="J110" s="152"/>
      <c r="K110" s="152"/>
      <c r="L110" s="152"/>
      <c r="M110" s="131"/>
      <c r="P110" s="712"/>
    </row>
    <row r="111" spans="1:16" ht="26.25">
      <c r="A111" s="44"/>
      <c r="B111" s="47" t="s">
        <v>84</v>
      </c>
      <c r="C111" s="48" t="s">
        <v>128</v>
      </c>
      <c r="D111" s="60">
        <v>10000000</v>
      </c>
      <c r="E111" s="120">
        <v>0</v>
      </c>
      <c r="F111" s="132">
        <v>0</v>
      </c>
      <c r="G111" s="120" t="s">
        <v>132</v>
      </c>
      <c r="H111" s="59" t="s">
        <v>132</v>
      </c>
      <c r="I111" s="120">
        <v>0</v>
      </c>
      <c r="J111" s="59" t="s">
        <v>132</v>
      </c>
      <c r="K111" s="157">
        <v>0</v>
      </c>
      <c r="L111" s="59">
        <v>0</v>
      </c>
      <c r="M111" s="132"/>
      <c r="P111" s="712"/>
    </row>
    <row r="112" spans="1:16">
      <c r="A112" s="63"/>
      <c r="B112" s="64"/>
      <c r="C112" s="65" t="s">
        <v>45</v>
      </c>
      <c r="D112" s="66">
        <f>SUM(D111)</f>
        <v>10000000</v>
      </c>
      <c r="E112" s="66">
        <f t="shared" ref="E112:F112" si="53">SUM(E109:E111)</f>
        <v>0</v>
      </c>
      <c r="F112" s="66">
        <f t="shared" si="53"/>
        <v>0</v>
      </c>
      <c r="G112" s="122" t="s">
        <v>132</v>
      </c>
      <c r="H112" s="66" t="s">
        <v>132</v>
      </c>
      <c r="I112" s="122" t="s">
        <v>132</v>
      </c>
      <c r="J112" s="66" t="s">
        <v>132</v>
      </c>
      <c r="K112" s="66">
        <f>SUM(K111)</f>
        <v>0</v>
      </c>
      <c r="L112" s="66">
        <v>0</v>
      </c>
      <c r="M112" s="66"/>
      <c r="P112" s="712"/>
    </row>
    <row r="113" spans="1:16">
      <c r="A113" s="44">
        <v>18</v>
      </c>
      <c r="B113" s="104" t="s">
        <v>218</v>
      </c>
      <c r="C113" s="105"/>
      <c r="D113" s="70"/>
      <c r="E113" s="70"/>
      <c r="F113" s="70"/>
      <c r="G113" s="287"/>
      <c r="H113" s="70"/>
      <c r="I113" s="287"/>
      <c r="J113" s="70"/>
      <c r="K113" s="70"/>
      <c r="L113" s="70"/>
      <c r="M113" s="70"/>
      <c r="P113" s="712"/>
    </row>
    <row r="114" spans="1:16" ht="25.5">
      <c r="A114" s="44"/>
      <c r="B114" s="283" t="s">
        <v>83</v>
      </c>
      <c r="C114" s="284" t="s">
        <v>219</v>
      </c>
      <c r="D114" s="288">
        <v>50000000</v>
      </c>
      <c r="E114" s="285">
        <v>0</v>
      </c>
      <c r="F114" s="285">
        <v>0</v>
      </c>
      <c r="G114" s="286">
        <v>16200000</v>
      </c>
      <c r="H114" s="301">
        <f>G114/D114*100</f>
        <v>32.4</v>
      </c>
      <c r="I114" s="286">
        <f>G114</f>
        <v>16200000</v>
      </c>
      <c r="J114" s="301">
        <f>I114/D114*100</f>
        <v>32.4</v>
      </c>
      <c r="K114" s="349">
        <f>10/12</f>
        <v>0.83333333333333337</v>
      </c>
      <c r="L114" s="323">
        <f>J114</f>
        <v>32.4</v>
      </c>
      <c r="M114" s="285"/>
      <c r="P114" s="712"/>
    </row>
    <row r="115" spans="1:16">
      <c r="A115" s="63"/>
      <c r="B115" s="64"/>
      <c r="C115" s="65" t="s">
        <v>45</v>
      </c>
      <c r="D115" s="66">
        <f>SUM(D114)</f>
        <v>50000000</v>
      </c>
      <c r="E115" s="66">
        <v>0</v>
      </c>
      <c r="F115" s="66">
        <v>0</v>
      </c>
      <c r="G115" s="122">
        <f>SUM(G114)</f>
        <v>16200000</v>
      </c>
      <c r="H115" s="302">
        <f>G115/D115*100</f>
        <v>32.4</v>
      </c>
      <c r="I115" s="122">
        <f>SUM(I114)</f>
        <v>16200000</v>
      </c>
      <c r="J115" s="302">
        <f>I115/D115*100</f>
        <v>32.4</v>
      </c>
      <c r="K115" s="350">
        <f>10/12</f>
        <v>0.83333333333333337</v>
      </c>
      <c r="L115" s="302">
        <f>J115</f>
        <v>32.4</v>
      </c>
      <c r="M115" s="66"/>
      <c r="P115" s="712"/>
    </row>
    <row r="116" spans="1:16">
      <c r="A116" s="44">
        <v>24</v>
      </c>
      <c r="B116" s="104" t="s">
        <v>221</v>
      </c>
      <c r="C116" s="105"/>
      <c r="D116" s="70"/>
      <c r="E116" s="70"/>
      <c r="F116" s="70"/>
      <c r="G116" s="287"/>
      <c r="H116" s="70"/>
      <c r="I116" s="287"/>
      <c r="J116" s="70"/>
      <c r="K116" s="70"/>
      <c r="L116" s="70"/>
      <c r="M116" s="70"/>
      <c r="P116" s="712"/>
    </row>
    <row r="117" spans="1:16" ht="15.75" thickBot="1">
      <c r="A117" s="44"/>
      <c r="B117" s="283" t="s">
        <v>83</v>
      </c>
      <c r="C117" s="284" t="s">
        <v>222</v>
      </c>
      <c r="D117" s="288">
        <v>50000000</v>
      </c>
      <c r="E117" s="285">
        <v>0</v>
      </c>
      <c r="F117" s="285">
        <v>0</v>
      </c>
      <c r="G117" s="286">
        <v>0</v>
      </c>
      <c r="H117" s="285">
        <v>0</v>
      </c>
      <c r="I117" s="286">
        <v>0</v>
      </c>
      <c r="J117" s="285">
        <v>0</v>
      </c>
      <c r="K117" s="157">
        <v>0</v>
      </c>
      <c r="L117" s="285">
        <v>0</v>
      </c>
      <c r="M117" s="285"/>
      <c r="N117" s="161">
        <v>51500000</v>
      </c>
      <c r="P117" s="712"/>
    </row>
    <row r="118" spans="1:16" ht="15.75" thickBot="1">
      <c r="A118" s="63"/>
      <c r="B118" s="64"/>
      <c r="C118" s="65" t="s">
        <v>45</v>
      </c>
      <c r="D118" s="66">
        <f>SUM(D117)</f>
        <v>50000000</v>
      </c>
      <c r="E118" s="66">
        <v>0</v>
      </c>
      <c r="F118" s="66">
        <v>0</v>
      </c>
      <c r="G118" s="122">
        <v>0</v>
      </c>
      <c r="H118" s="66">
        <v>0</v>
      </c>
      <c r="I118" s="122">
        <v>0</v>
      </c>
      <c r="J118" s="66">
        <v>0</v>
      </c>
      <c r="K118" s="66">
        <f>SUM(K117)</f>
        <v>0</v>
      </c>
      <c r="L118" s="66">
        <v>0</v>
      </c>
      <c r="M118" s="748"/>
      <c r="N118" s="749">
        <f>SUM(N117)</f>
        <v>51500000</v>
      </c>
      <c r="P118" s="712"/>
    </row>
    <row r="119" spans="1:16" ht="15.75" thickBot="1">
      <c r="A119" s="166"/>
      <c r="B119" s="167" t="s">
        <v>85</v>
      </c>
      <c r="C119" s="106"/>
      <c r="D119" s="107">
        <f>D13+D10</f>
        <v>3251325000</v>
      </c>
      <c r="E119" s="107">
        <f>E13+E10</f>
        <v>0</v>
      </c>
      <c r="F119" s="107">
        <f>F13+F10</f>
        <v>0</v>
      </c>
      <c r="G119" s="107">
        <f>G10+G13</f>
        <v>2365466490</v>
      </c>
      <c r="H119" s="213">
        <f>G119/D119*100</f>
        <v>72.753923092892904</v>
      </c>
      <c r="I119" s="107">
        <f>I13+I10</f>
        <v>2365466490</v>
      </c>
      <c r="J119" s="213">
        <f>I119/D119*100</f>
        <v>72.753923092892904</v>
      </c>
      <c r="K119" s="674">
        <f>10/12</f>
        <v>0.83333333333333337</v>
      </c>
      <c r="L119" s="213">
        <f>J119</f>
        <v>72.753923092892904</v>
      </c>
      <c r="M119" s="158"/>
      <c r="N119" s="161">
        <f>N31+N40+N59+N66+N79+N82+N86+N92+N44</f>
        <v>77596363</v>
      </c>
      <c r="P119" s="712"/>
    </row>
    <row r="120" spans="1:16" ht="15.75" thickTop="1">
      <c r="A120" s="342"/>
      <c r="B120" s="343"/>
      <c r="C120" s="344"/>
      <c r="D120" s="345"/>
      <c r="E120" s="345"/>
      <c r="F120" s="345"/>
      <c r="G120" s="711"/>
      <c r="H120" s="529"/>
      <c r="I120" s="345"/>
      <c r="J120" s="346"/>
      <c r="K120" s="347"/>
      <c r="L120" s="346"/>
      <c r="M120" s="348"/>
      <c r="N120" s="161">
        <f>N117+N29</f>
        <v>67716000</v>
      </c>
    </row>
    <row r="121" spans="1:16">
      <c r="A121" s="168"/>
      <c r="B121" s="169"/>
      <c r="C121" s="170"/>
      <c r="D121" s="171"/>
      <c r="E121" s="108"/>
      <c r="G121" s="710"/>
      <c r="H121" s="128"/>
      <c r="I121" s="159" t="s">
        <v>552</v>
      </c>
      <c r="J121" s="128"/>
      <c r="L121" s="128"/>
      <c r="M121" s="128"/>
      <c r="N121" s="667">
        <v>890100510</v>
      </c>
      <c r="O121" s="544">
        <v>62000000</v>
      </c>
    </row>
    <row r="122" spans="1:16">
      <c r="A122" s="172"/>
      <c r="B122" s="169"/>
      <c r="C122" s="173"/>
      <c r="D122" s="171"/>
      <c r="E122" s="174"/>
      <c r="H122" s="128"/>
      <c r="I122" s="159" t="s">
        <v>86</v>
      </c>
      <c r="J122" s="128"/>
      <c r="L122" s="128"/>
      <c r="M122" s="128"/>
      <c r="N122" s="161">
        <v>4242000</v>
      </c>
      <c r="O122" s="544">
        <v>30000000</v>
      </c>
      <c r="P122" s="544">
        <f>N119-O122</f>
        <v>47596363</v>
      </c>
    </row>
    <row r="123" spans="1:16">
      <c r="A123" s="172"/>
      <c r="B123" s="169"/>
      <c r="C123" s="173"/>
      <c r="D123" s="171"/>
      <c r="E123" s="174"/>
      <c r="H123" s="128"/>
      <c r="I123" s="159"/>
      <c r="J123" s="128"/>
      <c r="L123" s="128"/>
      <c r="M123" s="128"/>
      <c r="N123" s="161">
        <f>N121-N122</f>
        <v>885858510</v>
      </c>
      <c r="O123" s="544">
        <f>O122/O121*100</f>
        <v>48.387096774193552</v>
      </c>
      <c r="P123" s="544">
        <f>O121-P122</f>
        <v>14403637</v>
      </c>
    </row>
    <row r="124" spans="1:16">
      <c r="A124" s="172"/>
      <c r="B124" s="169"/>
      <c r="C124" s="173"/>
      <c r="D124" s="171"/>
      <c r="E124" s="108"/>
      <c r="H124" s="128"/>
      <c r="I124" s="159"/>
      <c r="J124" s="128"/>
      <c r="L124" s="128"/>
      <c r="M124" s="128"/>
    </row>
    <row r="125" spans="1:16">
      <c r="A125" s="175"/>
      <c r="B125" s="176"/>
      <c r="C125" s="177"/>
      <c r="D125" s="171"/>
      <c r="E125" s="108"/>
      <c r="G125" s="128" t="s">
        <v>227</v>
      </c>
      <c r="H125" s="128"/>
      <c r="I125" s="160" t="s">
        <v>120</v>
      </c>
      <c r="J125" s="128"/>
      <c r="L125" s="128"/>
      <c r="M125" s="128"/>
      <c r="O125" s="544">
        <f>N119+N120</f>
        <v>145312363</v>
      </c>
    </row>
    <row r="126" spans="1:16">
      <c r="A126" s="175"/>
      <c r="B126" s="176"/>
      <c r="C126" s="177"/>
      <c r="D126" s="175"/>
      <c r="E126" s="108"/>
      <c r="H126" s="128"/>
      <c r="I126" s="159" t="s">
        <v>491</v>
      </c>
      <c r="J126" s="128"/>
      <c r="L126" s="128"/>
      <c r="M126" s="128"/>
    </row>
    <row r="127" spans="1:16">
      <c r="A127" s="175"/>
      <c r="B127" s="176"/>
      <c r="C127" s="177"/>
      <c r="D127" s="175"/>
      <c r="E127" s="108"/>
      <c r="H127" s="128"/>
      <c r="I127" s="159" t="s">
        <v>121</v>
      </c>
      <c r="J127" s="128"/>
      <c r="L127" s="128"/>
      <c r="M127" s="128"/>
    </row>
  </sheetData>
  <mergeCells count="21">
    <mergeCell ref="A1:M1"/>
    <mergeCell ref="A2:M2"/>
    <mergeCell ref="A6:A8"/>
    <mergeCell ref="B6:C8"/>
    <mergeCell ref="G6:J6"/>
    <mergeCell ref="K6:L6"/>
    <mergeCell ref="M6:M8"/>
    <mergeCell ref="H7:H8"/>
    <mergeCell ref="J7:J8"/>
    <mergeCell ref="B87:C87"/>
    <mergeCell ref="B9:C9"/>
    <mergeCell ref="B54:C54"/>
    <mergeCell ref="B55:C55"/>
    <mergeCell ref="B60:C60"/>
    <mergeCell ref="B70:C70"/>
    <mergeCell ref="B71:C71"/>
    <mergeCell ref="B74:C74"/>
    <mergeCell ref="B77:C77"/>
    <mergeCell ref="B80:C80"/>
    <mergeCell ref="B83:C83"/>
    <mergeCell ref="C84:C8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S67"/>
  <sheetViews>
    <sheetView topLeftCell="C34" workbookViewId="0">
      <selection activeCell="R64" sqref="R64"/>
    </sheetView>
  </sheetViews>
  <sheetFormatPr defaultRowHeight="15"/>
  <cols>
    <col min="1" max="1" width="4.42578125" customWidth="1"/>
    <col min="2" max="2" width="3.85546875" customWidth="1"/>
    <col min="3" max="3" width="44.85546875" customWidth="1"/>
    <col min="4" max="4" width="12.28515625" style="128" customWidth="1"/>
    <col min="5" max="6" width="11.28515625" style="128" customWidth="1"/>
    <col min="7" max="7" width="13.140625" style="128" customWidth="1"/>
    <col min="8" max="8" width="6.85546875" customWidth="1"/>
    <col min="9" max="9" width="13.140625" customWidth="1"/>
    <col min="10" max="10" width="6.7109375" customWidth="1"/>
    <col min="11" max="11" width="14.140625" style="128" customWidth="1"/>
    <col min="12" max="12" width="10.85546875" customWidth="1"/>
    <col min="13" max="13" width="10.28515625" customWidth="1"/>
    <col min="14" max="14" width="21.85546875" style="772" customWidth="1"/>
    <col min="15" max="15" width="18.85546875" style="751" customWidth="1"/>
    <col min="16" max="16" width="14.28515625" style="751" customWidth="1"/>
    <col min="17" max="17" width="18.42578125" style="734" customWidth="1"/>
    <col min="18" max="18" width="14.28515625" style="544" bestFit="1" customWidth="1"/>
    <col min="19" max="19" width="14.28515625" bestFit="1" customWidth="1"/>
  </cols>
  <sheetData>
    <row r="1" spans="1:19" ht="33.75">
      <c r="A1" s="962" t="s">
        <v>561</v>
      </c>
      <c r="B1" s="962"/>
      <c r="C1" s="962"/>
      <c r="D1" s="962"/>
      <c r="E1" s="962"/>
      <c r="F1" s="962"/>
      <c r="G1" s="962"/>
      <c r="H1" s="962"/>
      <c r="I1" s="962"/>
      <c r="J1" s="962"/>
      <c r="K1" s="962"/>
      <c r="L1" s="962"/>
      <c r="M1" s="962"/>
      <c r="N1" s="962"/>
      <c r="Q1" s="734">
        <v>62000000</v>
      </c>
      <c r="R1" s="544">
        <f>Q2-Q1</f>
        <v>17228000</v>
      </c>
      <c r="S1" s="786">
        <f>R1+R64</f>
        <v>70257030</v>
      </c>
    </row>
    <row r="2" spans="1:19" ht="15.75" thickBot="1">
      <c r="Q2" s="734">
        <v>79228000</v>
      </c>
    </row>
    <row r="3" spans="1:19">
      <c r="A3" s="41" t="s">
        <v>26</v>
      </c>
      <c r="B3" s="42" t="s">
        <v>27</v>
      </c>
      <c r="C3" s="43"/>
      <c r="D3" s="32"/>
      <c r="E3" s="115"/>
      <c r="F3" s="32"/>
      <c r="G3" s="150"/>
      <c r="H3" s="151"/>
      <c r="I3" s="191"/>
      <c r="J3" s="150"/>
      <c r="K3" s="32"/>
      <c r="L3" s="32"/>
      <c r="M3" s="764"/>
      <c r="N3" s="788" t="s">
        <v>567</v>
      </c>
      <c r="O3" s="778" t="s">
        <v>576</v>
      </c>
      <c r="P3" s="794"/>
      <c r="Q3" s="820" t="s">
        <v>577</v>
      </c>
      <c r="R3" s="821" t="s">
        <v>570</v>
      </c>
    </row>
    <row r="4" spans="1:19">
      <c r="A4" s="44"/>
      <c r="B4" s="45" t="s">
        <v>26</v>
      </c>
      <c r="C4" s="46" t="s">
        <v>28</v>
      </c>
      <c r="D4" s="525">
        <v>6000000</v>
      </c>
      <c r="E4" s="116">
        <v>0</v>
      </c>
      <c r="F4" s="131">
        <v>0</v>
      </c>
      <c r="G4" s="192">
        <f>999000+501000+250000+250000+250000+250000+249000+750000</f>
        <v>3499000</v>
      </c>
      <c r="H4" s="299">
        <f>G4/D4*100</f>
        <v>58.31666666666667</v>
      </c>
      <c r="I4" s="192">
        <f>G4</f>
        <v>3499000</v>
      </c>
      <c r="J4" s="301">
        <f>H4</f>
        <v>58.31666666666667</v>
      </c>
      <c r="K4" s="331">
        <f>10/12</f>
        <v>0.83333333333333337</v>
      </c>
      <c r="L4" s="311">
        <f>J4</f>
        <v>58.31666666666667</v>
      </c>
      <c r="M4" s="765"/>
      <c r="N4" s="789">
        <v>2501000</v>
      </c>
      <c r="O4" s="794">
        <v>765000</v>
      </c>
      <c r="P4" s="794"/>
      <c r="Q4" s="795">
        <f>N4-O4</f>
        <v>1736000</v>
      </c>
      <c r="R4" s="712">
        <v>1736000</v>
      </c>
    </row>
    <row r="5" spans="1:19">
      <c r="A5" s="44"/>
      <c r="B5" s="47" t="s">
        <v>29</v>
      </c>
      <c r="C5" s="48" t="s">
        <v>30</v>
      </c>
      <c r="D5" s="34">
        <v>4000000</v>
      </c>
      <c r="E5" s="297">
        <v>0</v>
      </c>
      <c r="F5" s="132">
        <v>0</v>
      </c>
      <c r="G5" s="192">
        <v>2426553</v>
      </c>
      <c r="H5" s="299">
        <f t="shared" ref="H5:H6" si="0">G5/D5*100</f>
        <v>60.663825000000003</v>
      </c>
      <c r="I5" s="192">
        <f>G5</f>
        <v>2426553</v>
      </c>
      <c r="J5" s="301">
        <f>I5/D5*100</f>
        <v>60.663825000000003</v>
      </c>
      <c r="K5" s="331">
        <f t="shared" ref="K5:K17" si="1">10/12</f>
        <v>0.83333333333333337</v>
      </c>
      <c r="L5" s="311">
        <f t="shared" ref="L5:L17" si="2">J5</f>
        <v>60.663825000000003</v>
      </c>
      <c r="M5" s="766"/>
      <c r="N5" s="789">
        <v>1573447</v>
      </c>
      <c r="O5" s="794">
        <v>100253</v>
      </c>
      <c r="P5" s="794"/>
      <c r="Q5" s="795">
        <f t="shared" ref="Q5:Q17" si="3">N5-O5</f>
        <v>1473194</v>
      </c>
      <c r="R5" s="712">
        <v>267106</v>
      </c>
    </row>
    <row r="6" spans="1:19">
      <c r="A6" s="44"/>
      <c r="B6" s="47" t="s">
        <v>29</v>
      </c>
      <c r="C6" s="48" t="s">
        <v>31</v>
      </c>
      <c r="D6" s="34">
        <v>5000000</v>
      </c>
      <c r="E6" s="297">
        <v>0</v>
      </c>
      <c r="F6" s="132">
        <v>0</v>
      </c>
      <c r="G6" s="192">
        <v>2868400</v>
      </c>
      <c r="H6" s="299">
        <f t="shared" si="0"/>
        <v>57.367999999999995</v>
      </c>
      <c r="I6" s="192">
        <f t="shared" ref="I6:I7" si="4">G6</f>
        <v>2868400</v>
      </c>
      <c r="J6" s="301">
        <f t="shared" ref="J6:J15" si="5">I6/D6*100</f>
        <v>57.367999999999995</v>
      </c>
      <c r="K6" s="331">
        <f t="shared" si="1"/>
        <v>0.83333333333333337</v>
      </c>
      <c r="L6" s="311">
        <f t="shared" si="2"/>
        <v>57.367999999999995</v>
      </c>
      <c r="M6" s="766"/>
      <c r="N6" s="789">
        <v>2131600</v>
      </c>
      <c r="O6" s="794">
        <v>187950</v>
      </c>
      <c r="P6" s="794"/>
      <c r="Q6" s="795">
        <f t="shared" si="3"/>
        <v>1943650</v>
      </c>
      <c r="R6" s="712">
        <v>195900</v>
      </c>
    </row>
    <row r="7" spans="1:19">
      <c r="A7" s="44"/>
      <c r="B7" s="47" t="s">
        <v>29</v>
      </c>
      <c r="C7" s="48" t="s">
        <v>32</v>
      </c>
      <c r="D7" s="34">
        <v>8000000</v>
      </c>
      <c r="E7" s="297">
        <v>0</v>
      </c>
      <c r="F7" s="132">
        <v>0</v>
      </c>
      <c r="G7" s="192">
        <v>6053324</v>
      </c>
      <c r="H7" s="299">
        <f>G7/D7*100</f>
        <v>75.666550000000001</v>
      </c>
      <c r="I7" s="192">
        <f t="shared" si="4"/>
        <v>6053324</v>
      </c>
      <c r="J7" s="301">
        <f t="shared" si="5"/>
        <v>75.666550000000001</v>
      </c>
      <c r="K7" s="331">
        <f t="shared" si="1"/>
        <v>0.83333333333333337</v>
      </c>
      <c r="L7" s="311">
        <f t="shared" si="2"/>
        <v>75.666550000000001</v>
      </c>
      <c r="M7" s="766"/>
      <c r="N7" s="789">
        <v>1946676</v>
      </c>
      <c r="O7" s="794">
        <v>729440</v>
      </c>
      <c r="P7" s="794"/>
      <c r="Q7" s="795">
        <f t="shared" si="3"/>
        <v>1217236</v>
      </c>
      <c r="R7" s="712">
        <v>659424</v>
      </c>
    </row>
    <row r="8" spans="1:19">
      <c r="A8" s="44"/>
      <c r="B8" s="47" t="s">
        <v>33</v>
      </c>
      <c r="C8" s="48" t="s">
        <v>34</v>
      </c>
      <c r="D8" s="34">
        <v>12105000</v>
      </c>
      <c r="E8" s="117">
        <v>0</v>
      </c>
      <c r="F8" s="132">
        <v>0</v>
      </c>
      <c r="G8" s="192">
        <v>10000000</v>
      </c>
      <c r="H8" s="299">
        <f t="shared" ref="H8:H17" si="6">G8/D8*100</f>
        <v>82.610491532424618</v>
      </c>
      <c r="I8" s="192">
        <f>G8</f>
        <v>10000000</v>
      </c>
      <c r="J8" s="301">
        <f t="shared" si="5"/>
        <v>82.610491532424618</v>
      </c>
      <c r="K8" s="331">
        <f t="shared" si="1"/>
        <v>0.83333333333333337</v>
      </c>
      <c r="L8" s="311">
        <f t="shared" si="2"/>
        <v>82.610491532424618</v>
      </c>
      <c r="M8" s="766"/>
      <c r="N8" s="789">
        <v>2105000</v>
      </c>
      <c r="O8" s="794">
        <v>1000000</v>
      </c>
      <c r="P8" s="794"/>
      <c r="Q8" s="795">
        <f t="shared" si="3"/>
        <v>1105000</v>
      </c>
      <c r="R8" s="712">
        <v>1105000</v>
      </c>
    </row>
    <row r="9" spans="1:19">
      <c r="A9" s="44"/>
      <c r="B9" s="47">
        <v>10</v>
      </c>
      <c r="C9" s="48" t="s">
        <v>35</v>
      </c>
      <c r="D9" s="34">
        <v>11895000</v>
      </c>
      <c r="E9" s="117">
        <v>0</v>
      </c>
      <c r="F9" s="132">
        <v>0</v>
      </c>
      <c r="G9" s="192">
        <f>1500000+1000000+1000000+2250000+1000000+750000+2900000</f>
        <v>10400000</v>
      </c>
      <c r="H9" s="299">
        <f t="shared" si="6"/>
        <v>87.431693989071036</v>
      </c>
      <c r="I9" s="192">
        <f t="shared" ref="I9:I12" si="7">G9</f>
        <v>10400000</v>
      </c>
      <c r="J9" s="301">
        <f t="shared" si="5"/>
        <v>87.431693989071036</v>
      </c>
      <c r="K9" s="331">
        <f t="shared" si="1"/>
        <v>0.83333333333333337</v>
      </c>
      <c r="L9" s="311">
        <f t="shared" si="2"/>
        <v>87.431693989071036</v>
      </c>
      <c r="M9" s="766"/>
      <c r="N9" s="789">
        <v>1495000</v>
      </c>
      <c r="O9" s="794">
        <v>550000</v>
      </c>
      <c r="P9" s="794"/>
      <c r="Q9" s="795">
        <f t="shared" si="3"/>
        <v>945000</v>
      </c>
      <c r="R9" s="712">
        <v>945000</v>
      </c>
    </row>
    <row r="10" spans="1:19">
      <c r="A10" s="44"/>
      <c r="B10" s="47">
        <v>11</v>
      </c>
      <c r="C10" s="48" t="s">
        <v>36</v>
      </c>
      <c r="D10" s="34">
        <v>6000000</v>
      </c>
      <c r="E10" s="117">
        <v>0</v>
      </c>
      <c r="F10" s="132">
        <v>0</v>
      </c>
      <c r="G10" s="192">
        <f>1000000+500000+750000+1700000+200000+350000+500000</f>
        <v>5000000</v>
      </c>
      <c r="H10" s="299">
        <f t="shared" si="6"/>
        <v>83.333333333333343</v>
      </c>
      <c r="I10" s="192">
        <f t="shared" si="7"/>
        <v>5000000</v>
      </c>
      <c r="J10" s="301">
        <f t="shared" si="5"/>
        <v>83.333333333333343</v>
      </c>
      <c r="K10" s="331">
        <f t="shared" si="1"/>
        <v>0.83333333333333337</v>
      </c>
      <c r="L10" s="311">
        <f t="shared" si="2"/>
        <v>83.333333333333343</v>
      </c>
      <c r="M10" s="766"/>
      <c r="N10" s="789">
        <v>1000000</v>
      </c>
      <c r="O10" s="794">
        <v>250000</v>
      </c>
      <c r="P10" s="794"/>
      <c r="Q10" s="795">
        <f t="shared" si="3"/>
        <v>750000</v>
      </c>
      <c r="R10" s="712">
        <v>750000</v>
      </c>
    </row>
    <row r="11" spans="1:19">
      <c r="A11" s="44"/>
      <c r="B11" s="47">
        <v>11</v>
      </c>
      <c r="C11" s="48" t="s">
        <v>37</v>
      </c>
      <c r="D11" s="34">
        <v>18000000</v>
      </c>
      <c r="E11" s="117">
        <v>0</v>
      </c>
      <c r="F11" s="132">
        <v>0</v>
      </c>
      <c r="G11" s="192">
        <f>2525600+17850+34600+34000+2524800+370000+297800+11600000</f>
        <v>17404650</v>
      </c>
      <c r="H11" s="299">
        <f t="shared" si="6"/>
        <v>96.69250000000001</v>
      </c>
      <c r="I11" s="192">
        <f t="shared" si="7"/>
        <v>17404650</v>
      </c>
      <c r="J11" s="301">
        <f t="shared" si="5"/>
        <v>96.69250000000001</v>
      </c>
      <c r="K11" s="331">
        <f t="shared" si="1"/>
        <v>0.83333333333333337</v>
      </c>
      <c r="L11" s="311">
        <f t="shared" si="2"/>
        <v>96.69250000000001</v>
      </c>
      <c r="M11" s="766"/>
      <c r="N11" s="789">
        <v>595350</v>
      </c>
      <c r="O11" s="794">
        <v>140000</v>
      </c>
      <c r="P11" s="794"/>
      <c r="Q11" s="795">
        <f t="shared" si="3"/>
        <v>455350</v>
      </c>
      <c r="R11" s="712">
        <v>455350</v>
      </c>
    </row>
    <row r="12" spans="1:19">
      <c r="A12" s="44"/>
      <c r="B12" s="47">
        <v>12</v>
      </c>
      <c r="C12" s="48" t="s">
        <v>38</v>
      </c>
      <c r="D12" s="34">
        <v>5000000</v>
      </c>
      <c r="E12" s="117">
        <v>0</v>
      </c>
      <c r="F12" s="132">
        <v>0</v>
      </c>
      <c r="G12" s="192">
        <v>4225000</v>
      </c>
      <c r="H12" s="299">
        <f t="shared" si="6"/>
        <v>84.5</v>
      </c>
      <c r="I12" s="192">
        <f t="shared" si="7"/>
        <v>4225000</v>
      </c>
      <c r="J12" s="301">
        <f t="shared" si="5"/>
        <v>84.5</v>
      </c>
      <c r="K12" s="331">
        <f t="shared" si="1"/>
        <v>0.83333333333333337</v>
      </c>
      <c r="L12" s="311">
        <f t="shared" si="2"/>
        <v>84.5</v>
      </c>
      <c r="M12" s="766"/>
      <c r="N12" s="789">
        <v>775000</v>
      </c>
      <c r="O12" s="794">
        <v>775000</v>
      </c>
      <c r="P12" s="794"/>
      <c r="Q12" s="795">
        <f t="shared" si="3"/>
        <v>0</v>
      </c>
      <c r="R12" s="712"/>
    </row>
    <row r="13" spans="1:19">
      <c r="A13" s="44"/>
      <c r="B13" s="47">
        <v>13</v>
      </c>
      <c r="C13" s="48" t="s">
        <v>39</v>
      </c>
      <c r="D13" s="34">
        <v>5000000</v>
      </c>
      <c r="E13" s="117">
        <v>0</v>
      </c>
      <c r="F13" s="132">
        <v>0</v>
      </c>
      <c r="G13" s="192">
        <f>1000000+250000+500000+745000+750000+500000+700000</f>
        <v>4445000</v>
      </c>
      <c r="H13" s="299">
        <f t="shared" si="6"/>
        <v>88.9</v>
      </c>
      <c r="I13" s="192">
        <f>G13</f>
        <v>4445000</v>
      </c>
      <c r="J13" s="301">
        <f t="shared" si="5"/>
        <v>88.9</v>
      </c>
      <c r="K13" s="331">
        <f t="shared" si="1"/>
        <v>0.83333333333333337</v>
      </c>
      <c r="L13" s="311">
        <f t="shared" si="2"/>
        <v>88.9</v>
      </c>
      <c r="M13" s="766"/>
      <c r="N13" s="789">
        <v>555000</v>
      </c>
      <c r="O13" s="794">
        <v>555000</v>
      </c>
      <c r="P13" s="794"/>
      <c r="Q13" s="795">
        <f t="shared" si="3"/>
        <v>0</v>
      </c>
      <c r="R13" s="712"/>
    </row>
    <row r="14" spans="1:19">
      <c r="A14" s="44"/>
      <c r="B14" s="47">
        <v>15</v>
      </c>
      <c r="C14" s="48" t="s">
        <v>40</v>
      </c>
      <c r="D14" s="34">
        <v>3000000</v>
      </c>
      <c r="E14" s="117">
        <v>0</v>
      </c>
      <c r="F14" s="132">
        <v>0</v>
      </c>
      <c r="G14" s="192">
        <f>260000+140000+260000+140000+120000+120000+240000</f>
        <v>1280000</v>
      </c>
      <c r="H14" s="299">
        <f t="shared" si="6"/>
        <v>42.666666666666671</v>
      </c>
      <c r="I14" s="192">
        <f t="shared" ref="I14:I15" si="8">G14</f>
        <v>1280000</v>
      </c>
      <c r="J14" s="301">
        <f t="shared" si="5"/>
        <v>42.666666666666671</v>
      </c>
      <c r="K14" s="331">
        <f t="shared" si="1"/>
        <v>0.83333333333333337</v>
      </c>
      <c r="L14" s="311">
        <f t="shared" si="2"/>
        <v>42.666666666666671</v>
      </c>
      <c r="M14" s="766"/>
      <c r="N14" s="789">
        <v>1720000</v>
      </c>
      <c r="O14" s="794">
        <v>140000</v>
      </c>
      <c r="P14" s="794"/>
      <c r="Q14" s="795">
        <f>N14-O14</f>
        <v>1580000</v>
      </c>
      <c r="R14" s="712">
        <v>1580000</v>
      </c>
    </row>
    <row r="15" spans="1:19">
      <c r="A15" s="44"/>
      <c r="B15" s="47">
        <v>17</v>
      </c>
      <c r="C15" s="48" t="s">
        <v>41</v>
      </c>
      <c r="D15" s="34">
        <v>6249040</v>
      </c>
      <c r="E15" s="117">
        <v>0</v>
      </c>
      <c r="F15" s="132">
        <v>0</v>
      </c>
      <c r="G15" s="192">
        <f>1000000+250000+750000+650000+900000+950000</f>
        <v>4500000</v>
      </c>
      <c r="H15" s="299">
        <f t="shared" si="6"/>
        <v>72.011060898954085</v>
      </c>
      <c r="I15" s="192">
        <f t="shared" si="8"/>
        <v>4500000</v>
      </c>
      <c r="J15" s="301">
        <f t="shared" si="5"/>
        <v>72.011060898954085</v>
      </c>
      <c r="K15" s="331">
        <f t="shared" si="1"/>
        <v>0.83333333333333337</v>
      </c>
      <c r="L15" s="311">
        <f t="shared" si="2"/>
        <v>72.011060898954085</v>
      </c>
      <c r="M15" s="766"/>
      <c r="N15" s="789">
        <v>1749040</v>
      </c>
      <c r="O15" s="794">
        <v>700000</v>
      </c>
      <c r="P15" s="794"/>
      <c r="Q15" s="795">
        <f t="shared" si="3"/>
        <v>1049040</v>
      </c>
      <c r="R15" s="712">
        <v>1049000</v>
      </c>
    </row>
    <row r="16" spans="1:19">
      <c r="A16" s="44"/>
      <c r="B16" s="47">
        <v>17</v>
      </c>
      <c r="C16" s="48" t="s">
        <v>42</v>
      </c>
      <c r="D16" s="34">
        <v>9200000</v>
      </c>
      <c r="E16" s="117">
        <v>0</v>
      </c>
      <c r="F16" s="132">
        <v>0</v>
      </c>
      <c r="G16" s="192">
        <f>1200000+400000+1800000+760000+760000+760000</f>
        <v>5680000</v>
      </c>
      <c r="H16" s="299">
        <f t="shared" si="6"/>
        <v>61.739130434782609</v>
      </c>
      <c r="I16" s="192">
        <f>G16</f>
        <v>5680000</v>
      </c>
      <c r="J16" s="301">
        <f>I16/D16*100</f>
        <v>61.739130434782609</v>
      </c>
      <c r="K16" s="331">
        <f t="shared" si="1"/>
        <v>0.83333333333333337</v>
      </c>
      <c r="L16" s="311">
        <f t="shared" si="2"/>
        <v>61.739130434782609</v>
      </c>
      <c r="M16" s="766"/>
      <c r="N16" s="789">
        <v>3520000</v>
      </c>
      <c r="O16" s="794">
        <v>0</v>
      </c>
      <c r="P16" s="794"/>
      <c r="Q16" s="795">
        <f t="shared" si="3"/>
        <v>3520000</v>
      </c>
      <c r="R16" s="712">
        <v>3520000</v>
      </c>
    </row>
    <row r="17" spans="1:19" ht="15.75" thickBot="1">
      <c r="A17" s="44"/>
      <c r="B17" s="47">
        <v>18</v>
      </c>
      <c r="C17" s="48" t="s">
        <v>43</v>
      </c>
      <c r="D17" s="34">
        <v>20528000</v>
      </c>
      <c r="E17" s="117">
        <v>0</v>
      </c>
      <c r="F17" s="132">
        <v>0</v>
      </c>
      <c r="G17" s="192">
        <v>12075000</v>
      </c>
      <c r="H17" s="299">
        <f t="shared" si="6"/>
        <v>58.822096648480127</v>
      </c>
      <c r="I17" s="192">
        <f>G17</f>
        <v>12075000</v>
      </c>
      <c r="J17" s="301">
        <f t="shared" ref="J17" si="9">I17/D17*100</f>
        <v>58.822096648480127</v>
      </c>
      <c r="K17" s="331">
        <f t="shared" si="1"/>
        <v>0.83333333333333337</v>
      </c>
      <c r="L17" s="311">
        <f t="shared" si="2"/>
        <v>58.822096648480127</v>
      </c>
      <c r="M17" s="766"/>
      <c r="N17" s="790">
        <f>3030000+5450000</f>
        <v>8480000</v>
      </c>
      <c r="O17" s="797">
        <f>600000+725000</f>
        <v>1325000</v>
      </c>
      <c r="P17" s="797"/>
      <c r="Q17" s="798">
        <f t="shared" si="3"/>
        <v>7155000</v>
      </c>
      <c r="R17" s="799">
        <f>2400000+4725000</f>
        <v>7125000</v>
      </c>
      <c r="S17" s="786">
        <f>Q17-R17</f>
        <v>30000</v>
      </c>
    </row>
    <row r="18" spans="1:19" ht="15.75" thickBot="1">
      <c r="A18" s="35"/>
      <c r="B18" s="52"/>
      <c r="C18" s="37" t="s">
        <v>45</v>
      </c>
      <c r="D18" s="53">
        <f>SUM(D4:D17)</f>
        <v>119977040</v>
      </c>
      <c r="E18" s="53">
        <f>SUM(E4:E17)</f>
        <v>0</v>
      </c>
      <c r="F18" s="53">
        <f>SUM(F4:F17)</f>
        <v>0</v>
      </c>
      <c r="G18" s="53">
        <f>SUM(G4:G17)</f>
        <v>89856927</v>
      </c>
      <c r="H18" s="214">
        <f>G18/D18*100</f>
        <v>74.895102429598197</v>
      </c>
      <c r="I18" s="194">
        <f>SUM(I4:I17)</f>
        <v>89856927</v>
      </c>
      <c r="J18" s="214">
        <f>I18/D18*100</f>
        <v>74.895102429598197</v>
      </c>
      <c r="K18" s="332">
        <f>10/12</f>
        <v>0.83333333333333337</v>
      </c>
      <c r="L18" s="214">
        <f>J18</f>
        <v>74.895102429598197</v>
      </c>
      <c r="M18" s="746"/>
      <c r="N18" s="791">
        <f>SUM(N3:N17)</f>
        <v>30147113</v>
      </c>
      <c r="O18" s="803">
        <f>SUM(O3:O17)</f>
        <v>7217643</v>
      </c>
      <c r="P18" s="804">
        <f t="shared" ref="P18" si="10">SUM(P3:P17)</f>
        <v>0</v>
      </c>
      <c r="Q18" s="805">
        <f>SUM(Q4:Q17)</f>
        <v>22929470</v>
      </c>
      <c r="R18" s="806">
        <f>SUM(R4:R17)</f>
        <v>19387780</v>
      </c>
    </row>
    <row r="19" spans="1:19">
      <c r="A19" s="54" t="s">
        <v>29</v>
      </c>
      <c r="B19" s="55" t="s">
        <v>90</v>
      </c>
      <c r="C19" s="56"/>
      <c r="D19" s="57"/>
      <c r="E19" s="119"/>
      <c r="F19" s="131"/>
      <c r="G19" s="152"/>
      <c r="H19" s="152"/>
      <c r="I19" s="119"/>
      <c r="J19" s="152"/>
      <c r="K19" s="152"/>
      <c r="L19" s="152"/>
      <c r="M19" s="765"/>
      <c r="N19" s="792"/>
      <c r="O19" s="800"/>
      <c r="P19" s="800"/>
      <c r="Q19" s="801"/>
      <c r="R19" s="802"/>
    </row>
    <row r="20" spans="1:19">
      <c r="A20" s="279"/>
      <c r="B20" s="47" t="s">
        <v>53</v>
      </c>
      <c r="C20" s="46" t="s">
        <v>216</v>
      </c>
      <c r="D20" s="80">
        <v>40000000</v>
      </c>
      <c r="E20" s="119"/>
      <c r="F20" s="131"/>
      <c r="G20" s="152">
        <v>40000000</v>
      </c>
      <c r="H20" s="299">
        <f t="shared" ref="H20:H24" si="11">G20/D20*100</f>
        <v>100</v>
      </c>
      <c r="I20" s="119">
        <f>G20</f>
        <v>40000000</v>
      </c>
      <c r="J20" s="301">
        <f t="shared" ref="J20:J24" si="12">I20/D20*100</f>
        <v>100</v>
      </c>
      <c r="K20" s="331">
        <f>10/12</f>
        <v>0.83333333333333337</v>
      </c>
      <c r="L20" s="311">
        <f t="shared" ref="L20" si="13">J20</f>
        <v>100</v>
      </c>
      <c r="M20" s="765"/>
      <c r="N20" s="789">
        <v>0</v>
      </c>
      <c r="O20" s="794"/>
      <c r="P20" s="794"/>
      <c r="Q20" s="795"/>
      <c r="R20" s="712"/>
    </row>
    <row r="21" spans="1:19">
      <c r="A21" s="44"/>
      <c r="B21" s="47" t="s">
        <v>46</v>
      </c>
      <c r="C21" s="58" t="s">
        <v>110</v>
      </c>
      <c r="D21" s="59">
        <v>19000000</v>
      </c>
      <c r="E21" s="120">
        <v>0</v>
      </c>
      <c r="F21" s="132">
        <v>0</v>
      </c>
      <c r="G21" s="119">
        <v>14475000</v>
      </c>
      <c r="H21" s="299">
        <f t="shared" si="11"/>
        <v>76.18421052631578</v>
      </c>
      <c r="I21" s="119">
        <f>G21</f>
        <v>14475000</v>
      </c>
      <c r="J21" s="301">
        <f t="shared" si="12"/>
        <v>76.18421052631578</v>
      </c>
      <c r="K21" s="331">
        <f t="shared" ref="K21:K26" si="14">10/12</f>
        <v>0.83333333333333337</v>
      </c>
      <c r="L21" s="311">
        <f>J21</f>
        <v>76.18421052631578</v>
      </c>
      <c r="M21" s="766"/>
      <c r="N21" s="789">
        <v>4525000</v>
      </c>
      <c r="O21" s="794">
        <v>4500000</v>
      </c>
      <c r="P21" s="794"/>
      <c r="Q21" s="795">
        <f>N21-O21</f>
        <v>25000</v>
      </c>
      <c r="R21" s="712"/>
    </row>
    <row r="22" spans="1:19">
      <c r="A22" s="44"/>
      <c r="B22" s="47">
        <v>21</v>
      </c>
      <c r="C22" s="48" t="s">
        <v>47</v>
      </c>
      <c r="D22" s="59">
        <v>30000000</v>
      </c>
      <c r="E22" s="120">
        <v>0</v>
      </c>
      <c r="F22" s="132">
        <v>0</v>
      </c>
      <c r="G22" s="206">
        <v>30000000</v>
      </c>
      <c r="H22" s="299">
        <f t="shared" si="11"/>
        <v>100</v>
      </c>
      <c r="I22" s="119">
        <f t="shared" ref="I22:I23" si="15">G22</f>
        <v>30000000</v>
      </c>
      <c r="J22" s="301">
        <f t="shared" si="12"/>
        <v>100</v>
      </c>
      <c r="K22" s="331">
        <f t="shared" si="14"/>
        <v>0.83333333333333337</v>
      </c>
      <c r="L22" s="311">
        <f>J22</f>
        <v>100</v>
      </c>
      <c r="M22" s="766"/>
      <c r="N22" s="789">
        <v>0</v>
      </c>
      <c r="O22" s="794"/>
      <c r="P22" s="794"/>
      <c r="Q22" s="795">
        <f t="shared" ref="Q22:Q27" si="16">N22-O22</f>
        <v>0</v>
      </c>
      <c r="R22" s="712"/>
    </row>
    <row r="23" spans="1:19">
      <c r="A23" s="44"/>
      <c r="B23" s="47">
        <v>22</v>
      </c>
      <c r="C23" s="48" t="s">
        <v>48</v>
      </c>
      <c r="D23" s="60">
        <v>33000000</v>
      </c>
      <c r="E23" s="120">
        <v>0</v>
      </c>
      <c r="F23" s="132">
        <v>0</v>
      </c>
      <c r="G23" s="206">
        <v>30000000</v>
      </c>
      <c r="H23" s="299">
        <f t="shared" si="11"/>
        <v>90.909090909090907</v>
      </c>
      <c r="I23" s="119">
        <f t="shared" si="15"/>
        <v>30000000</v>
      </c>
      <c r="J23" s="301">
        <f t="shared" si="12"/>
        <v>90.909090909090907</v>
      </c>
      <c r="K23" s="331">
        <f t="shared" si="14"/>
        <v>0.83333333333333337</v>
      </c>
      <c r="L23" s="311">
        <f t="shared" ref="L23" si="17">J23</f>
        <v>90.909090909090907</v>
      </c>
      <c r="M23" s="768"/>
      <c r="N23" s="789">
        <v>3000000</v>
      </c>
      <c r="O23" s="794">
        <v>3000000</v>
      </c>
      <c r="P23" s="794"/>
      <c r="Q23" s="795">
        <f t="shared" si="16"/>
        <v>0</v>
      </c>
      <c r="R23" s="712"/>
    </row>
    <row r="24" spans="1:19">
      <c r="A24" s="44"/>
      <c r="B24" s="47">
        <v>24</v>
      </c>
      <c r="C24" s="48" t="s">
        <v>49</v>
      </c>
      <c r="D24" s="60">
        <v>36000000</v>
      </c>
      <c r="E24" s="120">
        <v>0</v>
      </c>
      <c r="F24" s="132">
        <v>0</v>
      </c>
      <c r="G24" s="206">
        <f>6051250+1700000+2418000+4557000+2750000+2922500+4902000</f>
        <v>25300750</v>
      </c>
      <c r="H24" s="299">
        <f t="shared" si="11"/>
        <v>70.279861111111103</v>
      </c>
      <c r="I24" s="192">
        <f>G24</f>
        <v>25300750</v>
      </c>
      <c r="J24" s="301">
        <f t="shared" si="12"/>
        <v>70.279861111111103</v>
      </c>
      <c r="K24" s="331">
        <f t="shared" si="14"/>
        <v>0.83333333333333337</v>
      </c>
      <c r="L24" s="311">
        <f>J24</f>
        <v>70.279861111111103</v>
      </c>
      <c r="M24" s="766"/>
      <c r="N24" s="789">
        <v>10699250</v>
      </c>
      <c r="O24" s="794">
        <f>500000+300000+745500+987500</f>
        <v>2533000</v>
      </c>
      <c r="P24" s="794"/>
      <c r="Q24" s="795">
        <f t="shared" si="16"/>
        <v>8166250</v>
      </c>
      <c r="R24" s="712">
        <f>500000+3617000+2759000+1290250</f>
        <v>8166250</v>
      </c>
    </row>
    <row r="25" spans="1:19">
      <c r="A25" s="44"/>
      <c r="B25" s="47">
        <v>26</v>
      </c>
      <c r="C25" s="48" t="s">
        <v>50</v>
      </c>
      <c r="D25" s="60">
        <v>4000000</v>
      </c>
      <c r="E25" s="120">
        <v>0</v>
      </c>
      <c r="F25" s="132">
        <v>0</v>
      </c>
      <c r="G25" s="206">
        <v>3500000</v>
      </c>
      <c r="H25" s="299">
        <f>G25/D25*100</f>
        <v>87.5</v>
      </c>
      <c r="I25" s="192">
        <f>G25</f>
        <v>3500000</v>
      </c>
      <c r="J25" s="301">
        <f>I25/D25*100</f>
        <v>87.5</v>
      </c>
      <c r="K25" s="331">
        <f t="shared" si="14"/>
        <v>0.83333333333333337</v>
      </c>
      <c r="L25" s="311">
        <f t="shared" ref="L25:L27" si="18">J25</f>
        <v>87.5</v>
      </c>
      <c r="M25" s="766"/>
      <c r="N25" s="789">
        <v>500000</v>
      </c>
      <c r="O25" s="794"/>
      <c r="P25" s="794"/>
      <c r="Q25" s="795">
        <f t="shared" si="16"/>
        <v>500000</v>
      </c>
      <c r="R25" s="712">
        <v>500000</v>
      </c>
    </row>
    <row r="26" spans="1:19">
      <c r="A26" s="44"/>
      <c r="B26" s="47">
        <v>28</v>
      </c>
      <c r="C26" s="48" t="s">
        <v>51</v>
      </c>
      <c r="D26" s="60">
        <v>12000000</v>
      </c>
      <c r="E26" s="120">
        <v>0</v>
      </c>
      <c r="F26" s="132">
        <v>0</v>
      </c>
      <c r="G26" s="206">
        <f>300000+300000+2250000+1000000+400000+1250000+500000+750000+200000+950000+2250000</f>
        <v>10150000</v>
      </c>
      <c r="H26" s="299">
        <f t="shared" ref="H26" si="19">G26/D26*100</f>
        <v>84.583333333333329</v>
      </c>
      <c r="I26" s="192">
        <f>G26</f>
        <v>10150000</v>
      </c>
      <c r="J26" s="301">
        <f>I26/D26*100</f>
        <v>84.583333333333329</v>
      </c>
      <c r="K26" s="331">
        <f t="shared" si="14"/>
        <v>0.83333333333333337</v>
      </c>
      <c r="L26" s="311">
        <f t="shared" si="18"/>
        <v>84.583333333333329</v>
      </c>
      <c r="M26" s="766"/>
      <c r="N26" s="789">
        <v>1850000</v>
      </c>
      <c r="O26" s="794"/>
      <c r="P26" s="794"/>
      <c r="Q26" s="795">
        <f t="shared" si="16"/>
        <v>1850000</v>
      </c>
      <c r="R26" s="712">
        <v>1850000</v>
      </c>
    </row>
    <row r="27" spans="1:19" ht="15.75" thickBot="1">
      <c r="A27" s="44"/>
      <c r="B27" s="61">
        <v>29</v>
      </c>
      <c r="C27" s="50" t="s">
        <v>52</v>
      </c>
      <c r="D27" s="62">
        <v>2000000</v>
      </c>
      <c r="E27" s="121">
        <v>0</v>
      </c>
      <c r="F27" s="133">
        <v>0</v>
      </c>
      <c r="G27" s="197">
        <f>200000+100000+390000+350000+460000</f>
        <v>1500000</v>
      </c>
      <c r="H27" s="312">
        <f>G27/D27*100</f>
        <v>75</v>
      </c>
      <c r="I27" s="313">
        <f t="shared" ref="I27" si="20">G27</f>
        <v>1500000</v>
      </c>
      <c r="J27" s="314">
        <f t="shared" ref="J27" si="21">I27/D27*100</f>
        <v>75</v>
      </c>
      <c r="K27" s="331">
        <f>10/12</f>
        <v>0.83333333333333337</v>
      </c>
      <c r="L27" s="311">
        <f t="shared" si="18"/>
        <v>75</v>
      </c>
      <c r="M27" s="767"/>
      <c r="N27" s="790">
        <v>500000</v>
      </c>
      <c r="O27" s="797"/>
      <c r="P27" s="797"/>
      <c r="Q27" s="798">
        <f t="shared" si="16"/>
        <v>500000</v>
      </c>
      <c r="R27" s="799">
        <v>500000</v>
      </c>
    </row>
    <row r="28" spans="1:19" ht="15.75" thickBot="1">
      <c r="A28" s="63"/>
      <c r="B28" s="64"/>
      <c r="C28" s="65" t="s">
        <v>45</v>
      </c>
      <c r="D28" s="66">
        <f>SUM(D20:D27)</f>
        <v>176000000</v>
      </c>
      <c r="E28" s="122"/>
      <c r="F28" s="66"/>
      <c r="G28" s="285">
        <f>SUM(G20:G27)</f>
        <v>154925750</v>
      </c>
      <c r="H28" s="323">
        <f>G28/D28*100</f>
        <v>88.025994318181816</v>
      </c>
      <c r="I28" s="286">
        <f>SUM(I20:I27)</f>
        <v>154925750</v>
      </c>
      <c r="J28" s="323">
        <f>I28/D28*100</f>
        <v>88.025994318181816</v>
      </c>
      <c r="K28" s="333">
        <f>10/12</f>
        <v>0.83333333333333337</v>
      </c>
      <c r="L28" s="302">
        <f>J28</f>
        <v>88.025994318181816</v>
      </c>
      <c r="M28" s="748"/>
      <c r="N28" s="791">
        <f>SUM(N20:N27)</f>
        <v>21074250</v>
      </c>
      <c r="O28" s="803">
        <f>SUM(O20:O27)</f>
        <v>10033000</v>
      </c>
      <c r="P28" s="804">
        <f t="shared" ref="P28:Q28" si="22">SUM(P20:P27)</f>
        <v>0</v>
      </c>
      <c r="Q28" s="804">
        <f t="shared" si="22"/>
        <v>11041250</v>
      </c>
      <c r="R28" s="808">
        <f>SUM(R20:R27)</f>
        <v>11016250</v>
      </c>
    </row>
    <row r="29" spans="1:19">
      <c r="A29" s="67" t="s">
        <v>53</v>
      </c>
      <c r="B29" s="68" t="s">
        <v>54</v>
      </c>
      <c r="C29" s="69"/>
      <c r="D29" s="70"/>
      <c r="E29" s="123"/>
      <c r="F29" s="134"/>
      <c r="G29" s="164"/>
      <c r="H29" s="148"/>
      <c r="I29" s="164"/>
      <c r="J29" s="152"/>
      <c r="K29" s="152"/>
      <c r="L29" s="156"/>
      <c r="M29" s="769"/>
      <c r="N29" s="793"/>
      <c r="O29" s="807"/>
      <c r="P29" s="807"/>
      <c r="Q29" s="801"/>
      <c r="R29" s="802"/>
    </row>
    <row r="30" spans="1:19" ht="15.75" thickBot="1">
      <c r="A30" s="44"/>
      <c r="B30" s="47" t="s">
        <v>26</v>
      </c>
      <c r="C30" s="48" t="s">
        <v>55</v>
      </c>
      <c r="D30" s="60">
        <v>15000000</v>
      </c>
      <c r="E30" s="120">
        <v>0</v>
      </c>
      <c r="F30" s="208">
        <v>0</v>
      </c>
      <c r="G30" s="197" t="s">
        <v>132</v>
      </c>
      <c r="H30" s="59" t="s">
        <v>132</v>
      </c>
      <c r="I30" s="197" t="s">
        <v>132</v>
      </c>
      <c r="J30" s="59" t="s">
        <v>132</v>
      </c>
      <c r="K30" s="59">
        <v>0</v>
      </c>
      <c r="L30" s="59">
        <v>0</v>
      </c>
      <c r="M30" s="766"/>
      <c r="N30" s="790">
        <v>5000000</v>
      </c>
      <c r="O30" s="797"/>
      <c r="P30" s="797"/>
      <c r="Q30" s="798"/>
      <c r="R30" s="799">
        <v>15000000</v>
      </c>
    </row>
    <row r="31" spans="1:19" ht="15.75" thickBot="1">
      <c r="A31" s="63"/>
      <c r="B31" s="71"/>
      <c r="C31" s="65" t="s">
        <v>45</v>
      </c>
      <c r="D31" s="66">
        <f>SUM(D30:D30)</f>
        <v>15000000</v>
      </c>
      <c r="E31" s="122">
        <f>SUM(E30:E30)</f>
        <v>0</v>
      </c>
      <c r="F31" s="202">
        <f>SUM(F30:F30)</f>
        <v>0</v>
      </c>
      <c r="G31" s="122" t="s">
        <v>132</v>
      </c>
      <c r="H31" s="66" t="s">
        <v>132</v>
      </c>
      <c r="I31" s="122" t="s">
        <v>132</v>
      </c>
      <c r="J31" s="155" t="s">
        <v>132</v>
      </c>
      <c r="K31" s="66">
        <f>SUM(K30:K30)</f>
        <v>0</v>
      </c>
      <c r="L31" s="66">
        <f>SUM(L30:L30)</f>
        <v>0</v>
      </c>
      <c r="M31" s="748"/>
      <c r="N31" s="791">
        <f>SUM(N30)</f>
        <v>5000000</v>
      </c>
      <c r="O31" s="811"/>
      <c r="P31" s="812"/>
      <c r="Q31" s="818"/>
      <c r="R31" s="819">
        <f>SUM(R30)</f>
        <v>15000000</v>
      </c>
    </row>
    <row r="32" spans="1:19">
      <c r="A32" s="84">
        <v>18</v>
      </c>
      <c r="B32" s="826" t="s">
        <v>96</v>
      </c>
      <c r="C32" s="827"/>
      <c r="D32" s="57"/>
      <c r="E32" s="119"/>
      <c r="F32" s="209"/>
      <c r="G32" s="119"/>
      <c r="H32" s="152"/>
      <c r="I32" s="119"/>
      <c r="J32" s="152"/>
      <c r="K32" s="152"/>
      <c r="L32" s="152"/>
      <c r="M32" s="765"/>
      <c r="N32" s="793"/>
      <c r="O32" s="807"/>
      <c r="P32" s="807"/>
      <c r="Q32" s="801"/>
      <c r="R32" s="802"/>
    </row>
    <row r="33" spans="1:18">
      <c r="A33" s="84"/>
      <c r="B33" s="830" t="s">
        <v>95</v>
      </c>
      <c r="C33" s="831"/>
      <c r="D33" s="57"/>
      <c r="E33" s="124"/>
      <c r="F33" s="209"/>
      <c r="G33" s="119"/>
      <c r="H33" s="152"/>
      <c r="I33" s="119"/>
      <c r="J33" s="152"/>
      <c r="K33" s="152"/>
      <c r="L33" s="152"/>
      <c r="M33" s="765"/>
      <c r="N33" s="789"/>
      <c r="O33" s="794"/>
      <c r="P33" s="794"/>
      <c r="Q33" s="795"/>
      <c r="R33" s="712"/>
    </row>
    <row r="34" spans="1:18" ht="15.75" thickBot="1">
      <c r="A34" s="44"/>
      <c r="B34" s="47" t="s">
        <v>26</v>
      </c>
      <c r="C34" s="48" t="s">
        <v>67</v>
      </c>
      <c r="D34" s="60">
        <v>25000000</v>
      </c>
      <c r="E34" s="125">
        <v>0</v>
      </c>
      <c r="F34" s="211">
        <v>0</v>
      </c>
      <c r="G34" s="199">
        <v>20000000</v>
      </c>
      <c r="H34" s="299">
        <f>G34/D34*100</f>
        <v>80</v>
      </c>
      <c r="I34" s="119">
        <f t="shared" ref="I34" si="23">G34</f>
        <v>20000000</v>
      </c>
      <c r="J34" s="301">
        <f>H34</f>
        <v>80</v>
      </c>
      <c r="K34" s="331">
        <f>10/12</f>
        <v>0.83333333333333337</v>
      </c>
      <c r="L34" s="301">
        <f>J34</f>
        <v>80</v>
      </c>
      <c r="M34" s="766"/>
      <c r="N34" s="790">
        <v>5000000</v>
      </c>
      <c r="O34" s="797"/>
      <c r="P34" s="797"/>
      <c r="Q34" s="798"/>
      <c r="R34" s="799">
        <v>5000000</v>
      </c>
    </row>
    <row r="35" spans="1:18" ht="15.75" thickBot="1">
      <c r="A35" s="63"/>
      <c r="B35" s="71"/>
      <c r="C35" s="65" t="s">
        <v>45</v>
      </c>
      <c r="D35" s="66">
        <f>SUM(D34:D34)</f>
        <v>25000000</v>
      </c>
      <c r="E35" s="66">
        <f t="shared" ref="E35" si="24">SUM(E34:E34)</f>
        <v>0</v>
      </c>
      <c r="F35" s="66">
        <f>SUM(F34:F34)</f>
        <v>0</v>
      </c>
      <c r="G35" s="122">
        <f>SUM(G34:G34)</f>
        <v>20000000</v>
      </c>
      <c r="H35" s="323">
        <f>G35/D35*100</f>
        <v>80</v>
      </c>
      <c r="I35" s="122">
        <f>SUM(I34:I34)</f>
        <v>20000000</v>
      </c>
      <c r="J35" s="302">
        <f>H35</f>
        <v>80</v>
      </c>
      <c r="K35" s="331">
        <f>10/12</f>
        <v>0.83333333333333337</v>
      </c>
      <c r="L35" s="302">
        <f t="shared" ref="L35" si="25">SUM(L34:L34)</f>
        <v>80</v>
      </c>
      <c r="M35" s="748"/>
      <c r="N35" s="791">
        <f>SUM(N34:N34)</f>
        <v>5000000</v>
      </c>
      <c r="O35" s="811"/>
      <c r="P35" s="812"/>
      <c r="Q35" s="813"/>
      <c r="R35" s="819">
        <f>SUM(R34)</f>
        <v>5000000</v>
      </c>
    </row>
    <row r="36" spans="1:18">
      <c r="A36" s="44">
        <v>15</v>
      </c>
      <c r="B36" s="744" t="s">
        <v>68</v>
      </c>
      <c r="C36" s="86"/>
      <c r="D36" s="57"/>
      <c r="E36" s="119"/>
      <c r="F36" s="131"/>
      <c r="G36" s="119"/>
      <c r="H36" s="152"/>
      <c r="I36" s="119"/>
      <c r="J36" s="152"/>
      <c r="K36" s="152"/>
      <c r="L36" s="152"/>
      <c r="M36" s="765"/>
      <c r="N36" s="793"/>
      <c r="O36" s="807"/>
      <c r="P36" s="807"/>
      <c r="Q36" s="801"/>
      <c r="R36" s="802"/>
    </row>
    <row r="37" spans="1:18" ht="26.25">
      <c r="A37" s="44"/>
      <c r="B37" s="49" t="s">
        <v>80</v>
      </c>
      <c r="C37" s="50" t="s">
        <v>118</v>
      </c>
      <c r="D37" s="62">
        <v>7500000</v>
      </c>
      <c r="E37" s="125">
        <v>0</v>
      </c>
      <c r="F37" s="135">
        <v>0</v>
      </c>
      <c r="G37" s="119" t="s">
        <v>132</v>
      </c>
      <c r="H37" s="59" t="s">
        <v>132</v>
      </c>
      <c r="I37" s="119" t="s">
        <v>132</v>
      </c>
      <c r="J37" s="59" t="s">
        <v>132</v>
      </c>
      <c r="K37" s="339"/>
      <c r="L37" s="59">
        <v>0</v>
      </c>
      <c r="M37" s="766"/>
      <c r="N37" s="789">
        <v>7500000</v>
      </c>
      <c r="O37" s="794">
        <v>7500000</v>
      </c>
      <c r="P37" s="794"/>
      <c r="Q37" s="795"/>
      <c r="R37" s="712"/>
    </row>
    <row r="38" spans="1:18" ht="15.75" thickBot="1">
      <c r="A38" s="44"/>
      <c r="B38" s="49" t="s">
        <v>69</v>
      </c>
      <c r="C38" s="50" t="s">
        <v>70</v>
      </c>
      <c r="D38" s="62">
        <v>60000000</v>
      </c>
      <c r="E38" s="125">
        <v>0</v>
      </c>
      <c r="F38" s="135">
        <v>0</v>
      </c>
      <c r="G38" s="197">
        <v>60000000</v>
      </c>
      <c r="H38" s="312">
        <f>G38/D38*100</f>
        <v>100</v>
      </c>
      <c r="I38" s="197">
        <f>G38</f>
        <v>60000000</v>
      </c>
      <c r="J38" s="301">
        <f>H38</f>
        <v>100</v>
      </c>
      <c r="K38" s="331">
        <f>10/12</f>
        <v>0.83333333333333337</v>
      </c>
      <c r="L38" s="301">
        <f>J38</f>
        <v>100</v>
      </c>
      <c r="M38" s="766"/>
      <c r="N38" s="790"/>
      <c r="O38" s="794"/>
      <c r="P38" s="794"/>
      <c r="Q38" s="795"/>
      <c r="R38" s="712"/>
    </row>
    <row r="39" spans="1:18" ht="15.75" thickBot="1">
      <c r="A39" s="63"/>
      <c r="B39" s="64"/>
      <c r="C39" s="65" t="s">
        <v>45</v>
      </c>
      <c r="D39" s="66">
        <f>SUM(D37:D38)</f>
        <v>67500000</v>
      </c>
      <c r="E39" s="66">
        <f>SUM(E36:E38)</f>
        <v>0</v>
      </c>
      <c r="F39" s="66">
        <f>SUM(F36:F38)</f>
        <v>0</v>
      </c>
      <c r="G39" s="122">
        <f>SUM(G38)</f>
        <v>60000000</v>
      </c>
      <c r="H39" s="323">
        <f>G39/D39*100</f>
        <v>88.888888888888886</v>
      </c>
      <c r="I39" s="122">
        <f>SUM(I38)</f>
        <v>60000000</v>
      </c>
      <c r="J39" s="302">
        <f>H39</f>
        <v>88.888888888888886</v>
      </c>
      <c r="K39" s="356">
        <f>K38</f>
        <v>0.83333333333333337</v>
      </c>
      <c r="L39" s="302">
        <f>SUM(L36:L38)</f>
        <v>100</v>
      </c>
      <c r="M39" s="748"/>
      <c r="N39" s="791">
        <f>SUM(N37:N38)</f>
        <v>7500000</v>
      </c>
      <c r="O39" s="778">
        <f>SUM(O37:O38)</f>
        <v>7500000</v>
      </c>
      <c r="P39" s="796"/>
      <c r="Q39" s="795"/>
      <c r="R39" s="712"/>
    </row>
    <row r="40" spans="1:18">
      <c r="A40" s="84">
        <v>16</v>
      </c>
      <c r="B40" s="826" t="s">
        <v>75</v>
      </c>
      <c r="C40" s="827"/>
      <c r="D40" s="57"/>
      <c r="E40" s="119"/>
      <c r="F40" s="131"/>
      <c r="G40" s="119"/>
      <c r="H40" s="156"/>
      <c r="I40" s="123"/>
      <c r="J40" s="152"/>
      <c r="K40" s="152"/>
      <c r="L40" s="152"/>
      <c r="M40" s="765"/>
      <c r="N40" s="793"/>
      <c r="O40" s="794"/>
      <c r="P40" s="794"/>
      <c r="Q40" s="795"/>
      <c r="R40" s="712"/>
    </row>
    <row r="41" spans="1:18" ht="15.75" thickBot="1">
      <c r="A41" s="84"/>
      <c r="B41" s="94" t="s">
        <v>72</v>
      </c>
      <c r="C41" s="95" t="s">
        <v>103</v>
      </c>
      <c r="D41" s="80">
        <v>10000000</v>
      </c>
      <c r="E41" s="124"/>
      <c r="F41" s="131"/>
      <c r="G41" s="218">
        <v>9000000</v>
      </c>
      <c r="H41" s="312">
        <f>G41/D41*100</f>
        <v>90</v>
      </c>
      <c r="I41" s="313">
        <f t="shared" ref="I41" si="26">G41</f>
        <v>9000000</v>
      </c>
      <c r="J41" s="314">
        <f t="shared" ref="J41" si="27">I41/D41*100</f>
        <v>90</v>
      </c>
      <c r="K41" s="331">
        <f>10/12</f>
        <v>0.83333333333333337</v>
      </c>
      <c r="L41" s="311">
        <f>J41</f>
        <v>90</v>
      </c>
      <c r="M41" s="765"/>
      <c r="N41" s="790">
        <v>1000000</v>
      </c>
      <c r="O41" s="797"/>
      <c r="P41" s="797"/>
      <c r="Q41" s="798"/>
      <c r="R41" s="799">
        <v>1000000</v>
      </c>
    </row>
    <row r="42" spans="1:18" ht="15.75" thickBot="1">
      <c r="A42" s="93"/>
      <c r="B42" s="83"/>
      <c r="C42" s="65" t="s">
        <v>45</v>
      </c>
      <c r="D42" s="66">
        <f>SUM(D41)</f>
        <v>10000000</v>
      </c>
      <c r="E42" s="66">
        <f t="shared" ref="E42:F42" si="28">SUM(E40:E41)</f>
        <v>0</v>
      </c>
      <c r="F42" s="66">
        <f t="shared" si="28"/>
        <v>0</v>
      </c>
      <c r="G42" s="122">
        <f>SUM(G41)</f>
        <v>9000000</v>
      </c>
      <c r="H42" s="302">
        <f t="shared" ref="H42:J42" si="29">SUM(H41)</f>
        <v>90</v>
      </c>
      <c r="I42" s="122">
        <f t="shared" si="29"/>
        <v>9000000</v>
      </c>
      <c r="J42" s="302">
        <f t="shared" si="29"/>
        <v>90</v>
      </c>
      <c r="K42" s="333">
        <f>SUM(K41)</f>
        <v>0.83333333333333337</v>
      </c>
      <c r="L42" s="302">
        <f t="shared" ref="L42" si="30">SUM(L41)</f>
        <v>90</v>
      </c>
      <c r="M42" s="748"/>
      <c r="N42" s="791">
        <f>SUM(N41)</f>
        <v>1000000</v>
      </c>
      <c r="O42" s="811"/>
      <c r="P42" s="812"/>
      <c r="Q42" s="813"/>
      <c r="R42" s="814">
        <f>SUM(R41)</f>
        <v>1000000</v>
      </c>
    </row>
    <row r="43" spans="1:18">
      <c r="A43" s="84">
        <v>22</v>
      </c>
      <c r="B43" s="826" t="s">
        <v>87</v>
      </c>
      <c r="C43" s="827"/>
      <c r="D43" s="57"/>
      <c r="E43" s="119"/>
      <c r="F43" s="131"/>
      <c r="G43" s="119"/>
      <c r="H43" s="152"/>
      <c r="I43" s="119"/>
      <c r="J43" s="152"/>
      <c r="K43" s="152"/>
      <c r="L43" s="152"/>
      <c r="M43" s="765"/>
      <c r="N43" s="793"/>
      <c r="O43" s="807"/>
      <c r="P43" s="807"/>
      <c r="Q43" s="801"/>
      <c r="R43" s="802"/>
    </row>
    <row r="44" spans="1:18" ht="26.25" thickBot="1">
      <c r="A44" s="84"/>
      <c r="B44" s="47" t="s">
        <v>26</v>
      </c>
      <c r="C44" s="95" t="s">
        <v>76</v>
      </c>
      <c r="D44" s="60">
        <v>3500000</v>
      </c>
      <c r="E44" s="125">
        <v>0</v>
      </c>
      <c r="F44" s="135">
        <v>0</v>
      </c>
      <c r="G44" s="197">
        <f>875000+875000+875000</f>
        <v>2625000</v>
      </c>
      <c r="H44" s="312">
        <f>G44/D44*100</f>
        <v>75</v>
      </c>
      <c r="I44" s="197">
        <f>G44</f>
        <v>2625000</v>
      </c>
      <c r="J44" s="314">
        <f t="shared" ref="J44:J45" si="31">I44/D44*100</f>
        <v>75</v>
      </c>
      <c r="K44" s="331">
        <f>10/12</f>
        <v>0.83333333333333337</v>
      </c>
      <c r="L44" s="311">
        <f>J44</f>
        <v>75</v>
      </c>
      <c r="M44" s="766"/>
      <c r="N44" s="790">
        <v>875000</v>
      </c>
      <c r="O44" s="794"/>
      <c r="P44" s="794"/>
      <c r="Q44" s="795"/>
      <c r="R44" s="712"/>
    </row>
    <row r="45" spans="1:18" ht="15.75" thickBot="1">
      <c r="A45" s="63"/>
      <c r="B45" s="83"/>
      <c r="C45" s="65" t="s">
        <v>45</v>
      </c>
      <c r="D45" s="66">
        <f>SUM(D44:D44)</f>
        <v>3500000</v>
      </c>
      <c r="E45" s="66">
        <f t="shared" ref="E45:F45" si="32">SUM(E42:E44)</f>
        <v>0</v>
      </c>
      <c r="F45" s="66">
        <f t="shared" si="32"/>
        <v>0</v>
      </c>
      <c r="G45" s="122">
        <f>SUM(G44)</f>
        <v>2625000</v>
      </c>
      <c r="H45" s="535">
        <f>G45/D45*100</f>
        <v>75</v>
      </c>
      <c r="I45" s="122">
        <f>SUM(I44)</f>
        <v>2625000</v>
      </c>
      <c r="J45" s="536">
        <f t="shared" si="31"/>
        <v>75</v>
      </c>
      <c r="K45" s="333">
        <f>SUM(K44)</f>
        <v>0.83333333333333337</v>
      </c>
      <c r="L45" s="302">
        <f>SUM(L44)</f>
        <v>75</v>
      </c>
      <c r="M45" s="748"/>
      <c r="N45" s="791">
        <f>SUM(N44)</f>
        <v>875000</v>
      </c>
      <c r="O45" s="815"/>
      <c r="P45" s="815"/>
      <c r="Q45" s="798"/>
      <c r="R45" s="799">
        <v>875000</v>
      </c>
    </row>
    <row r="46" spans="1:18" ht="15.75" thickBot="1">
      <c r="A46" s="44">
        <v>17</v>
      </c>
      <c r="B46" s="822" t="s">
        <v>56</v>
      </c>
      <c r="C46" s="823"/>
      <c r="D46" s="57"/>
      <c r="E46" s="119"/>
      <c r="F46" s="131"/>
      <c r="G46" s="119"/>
      <c r="H46" s="152"/>
      <c r="I46" s="119"/>
      <c r="J46" s="152"/>
      <c r="K46" s="152"/>
      <c r="L46" s="152"/>
      <c r="M46" s="765"/>
      <c r="N46" s="793"/>
      <c r="O46" s="816"/>
      <c r="P46" s="817"/>
      <c r="Q46" s="813"/>
      <c r="R46" s="814">
        <f>SUM(R45)</f>
        <v>875000</v>
      </c>
    </row>
    <row r="47" spans="1:18">
      <c r="A47" s="44"/>
      <c r="B47" s="47">
        <v>19</v>
      </c>
      <c r="C47" s="824" t="s">
        <v>91</v>
      </c>
      <c r="E47" s="120"/>
      <c r="F47" s="132"/>
      <c r="G47" s="119"/>
      <c r="H47" s="59"/>
      <c r="I47" s="119"/>
      <c r="J47" s="59"/>
      <c r="K47" s="59"/>
      <c r="L47" s="59"/>
      <c r="M47" s="766"/>
      <c r="N47" s="789"/>
      <c r="O47" s="807"/>
      <c r="P47" s="807"/>
      <c r="Q47" s="801"/>
      <c r="R47" s="802"/>
    </row>
    <row r="48" spans="1:18" ht="15.75" thickBot="1">
      <c r="A48" s="44"/>
      <c r="B48" s="163"/>
      <c r="C48" s="825"/>
      <c r="D48" s="60">
        <v>25000000</v>
      </c>
      <c r="E48" s="164">
        <v>0</v>
      </c>
      <c r="F48" s="165">
        <v>0</v>
      </c>
      <c r="G48" s="330">
        <v>18750000</v>
      </c>
      <c r="H48" s="312">
        <f>G48/D48*100</f>
        <v>75</v>
      </c>
      <c r="I48" s="197">
        <f>G48</f>
        <v>18750000</v>
      </c>
      <c r="J48" s="314">
        <f t="shared" ref="J48" si="33">I48/D48*100</f>
        <v>75</v>
      </c>
      <c r="K48" s="331">
        <f>10/12</f>
        <v>0.83333333333333337</v>
      </c>
      <c r="L48" s="314">
        <f>J48</f>
        <v>75</v>
      </c>
      <c r="M48" s="770"/>
      <c r="N48" s="790">
        <v>6250000</v>
      </c>
      <c r="O48" s="794">
        <v>6250000</v>
      </c>
      <c r="P48" s="794"/>
      <c r="Q48" s="795"/>
      <c r="R48" s="712"/>
    </row>
    <row r="49" spans="1:18" ht="15.75" thickBot="1">
      <c r="A49" s="63"/>
      <c r="B49" s="96"/>
      <c r="C49" s="65" t="s">
        <v>45</v>
      </c>
      <c r="D49" s="66">
        <f>SUM(D48:D48)</f>
        <v>25000000</v>
      </c>
      <c r="E49" s="122">
        <f>SUM(E47:E47)</f>
        <v>0</v>
      </c>
      <c r="F49" s="137">
        <f>SUM(F47:F47)</f>
        <v>0</v>
      </c>
      <c r="G49" s="122">
        <f>SUM(G48)</f>
        <v>18750000</v>
      </c>
      <c r="H49" s="302">
        <f>SUM(H48)</f>
        <v>75</v>
      </c>
      <c r="I49" s="122">
        <f>SUM(I48)</f>
        <v>18750000</v>
      </c>
      <c r="J49" s="324">
        <f>SUM(J48)</f>
        <v>75</v>
      </c>
      <c r="K49" s="333">
        <f>SUM(K48)</f>
        <v>0.83333333333333337</v>
      </c>
      <c r="L49" s="340">
        <f>J49</f>
        <v>75</v>
      </c>
      <c r="M49" s="750"/>
      <c r="N49" s="791">
        <f>SUM(N48)</f>
        <v>6250000</v>
      </c>
      <c r="O49" s="778">
        <f>SUM(O48)</f>
        <v>6250000</v>
      </c>
      <c r="P49" s="796"/>
      <c r="Q49" s="795"/>
      <c r="R49" s="712"/>
    </row>
    <row r="50" spans="1:18">
      <c r="A50" s="44">
        <v>32</v>
      </c>
      <c r="B50" s="97" t="s">
        <v>59</v>
      </c>
      <c r="C50" s="98"/>
      <c r="D50" s="57"/>
      <c r="E50" s="119"/>
      <c r="F50" s="131"/>
      <c r="G50" s="119"/>
      <c r="H50" s="152"/>
      <c r="I50" s="119"/>
      <c r="J50" s="152"/>
      <c r="K50" s="152"/>
      <c r="L50" s="152"/>
      <c r="M50" s="765"/>
      <c r="N50" s="793"/>
      <c r="O50" s="794"/>
      <c r="P50" s="794"/>
      <c r="Q50" s="795"/>
      <c r="R50" s="712"/>
    </row>
    <row r="51" spans="1:18" ht="15.75" thickBot="1">
      <c r="A51" s="44"/>
      <c r="B51" s="47" t="s">
        <v>26</v>
      </c>
      <c r="C51" s="58" t="s">
        <v>60</v>
      </c>
      <c r="D51" s="60">
        <v>15000000</v>
      </c>
      <c r="E51" s="120">
        <v>0</v>
      </c>
      <c r="F51" s="132">
        <v>0</v>
      </c>
      <c r="G51" s="197">
        <f>750000+225000+ 1500000+750000+7500000+3525000</f>
        <v>14250000</v>
      </c>
      <c r="H51" s="301">
        <f>G51/D51*100</f>
        <v>95</v>
      </c>
      <c r="I51" s="192">
        <f>G51</f>
        <v>14250000</v>
      </c>
      <c r="J51" s="301">
        <f>I51/D51*100</f>
        <v>95</v>
      </c>
      <c r="K51" s="331">
        <f>10/12</f>
        <v>0.83333333333333337</v>
      </c>
      <c r="L51" s="311">
        <f>J51</f>
        <v>95</v>
      </c>
      <c r="M51" s="766"/>
      <c r="N51" s="790">
        <v>750000</v>
      </c>
      <c r="O51" s="794"/>
      <c r="P51" s="794"/>
      <c r="Q51" s="795"/>
      <c r="R51" s="799">
        <v>750000</v>
      </c>
    </row>
    <row r="52" spans="1:18" ht="15.75" thickBot="1">
      <c r="A52" s="63"/>
      <c r="B52" s="64"/>
      <c r="C52" s="65" t="s">
        <v>45</v>
      </c>
      <c r="D52" s="66">
        <f>SUM(D51)</f>
        <v>15000000</v>
      </c>
      <c r="E52" s="122">
        <f>SUM(E51:E51)</f>
        <v>0</v>
      </c>
      <c r="F52" s="66">
        <f>SUM(F51:F51)</f>
        <v>0</v>
      </c>
      <c r="G52" s="122">
        <f>G51</f>
        <v>14250000</v>
      </c>
      <c r="H52" s="302">
        <f>G52/D52*100</f>
        <v>95</v>
      </c>
      <c r="I52" s="122">
        <f>I51</f>
        <v>14250000</v>
      </c>
      <c r="J52" s="302">
        <f>I52/D52*100</f>
        <v>95</v>
      </c>
      <c r="K52" s="333">
        <f>SUM(K51:K51)</f>
        <v>0.83333333333333337</v>
      </c>
      <c r="L52" s="302">
        <f>SUM(L51:L51)</f>
        <v>95</v>
      </c>
      <c r="M52" s="748"/>
      <c r="N52" s="791">
        <f>SUM(N51)</f>
        <v>750000</v>
      </c>
      <c r="O52" s="796" t="s">
        <v>568</v>
      </c>
      <c r="P52" s="796">
        <v>62000000</v>
      </c>
      <c r="Q52" s="809">
        <f>P53/P52*100</f>
        <v>75</v>
      </c>
      <c r="R52" s="810">
        <f>SUM(R51)</f>
        <v>750000</v>
      </c>
    </row>
    <row r="53" spans="1:18">
      <c r="A53" s="964" t="s">
        <v>163</v>
      </c>
      <c r="B53" s="965"/>
      <c r="C53" s="965"/>
      <c r="D53" s="965"/>
      <c r="E53" s="965"/>
      <c r="F53" s="965"/>
      <c r="G53" s="965"/>
      <c r="H53" s="965"/>
      <c r="I53" s="965"/>
      <c r="J53" s="965"/>
      <c r="K53" s="965"/>
      <c r="L53" s="965"/>
      <c r="M53" s="966"/>
      <c r="N53" s="792">
        <f>N18+N28+N31+N35+N39+N42+N45+N49+N52</f>
        <v>77596363</v>
      </c>
      <c r="O53" s="794" t="s">
        <v>569</v>
      </c>
      <c r="P53" s="794">
        <v>46500000</v>
      </c>
      <c r="Q53" s="795"/>
      <c r="R53" s="802"/>
    </row>
    <row r="54" spans="1:18">
      <c r="Q54" s="734">
        <f>N53-P53</f>
        <v>31096363</v>
      </c>
    </row>
    <row r="55" spans="1:18" ht="23.25">
      <c r="A55" s="963" t="s">
        <v>560</v>
      </c>
      <c r="B55" s="963"/>
      <c r="C55" s="963"/>
      <c r="D55" s="963"/>
      <c r="E55" s="963"/>
      <c r="F55" s="963"/>
      <c r="G55" s="963"/>
      <c r="H55" s="963"/>
      <c r="I55" s="963"/>
      <c r="J55" s="963"/>
      <c r="K55" s="963"/>
      <c r="L55" s="963"/>
      <c r="M55" s="963"/>
      <c r="N55" s="963"/>
      <c r="O55" s="751" t="s">
        <v>570</v>
      </c>
      <c r="Q55" s="734">
        <f>P52-Q54</f>
        <v>30903637</v>
      </c>
      <c r="R55" s="544">
        <f>P53-Q55</f>
        <v>15596363</v>
      </c>
    </row>
    <row r="56" spans="1:18">
      <c r="C56" s="771"/>
      <c r="Q56" s="734">
        <f>N53+N63</f>
        <v>155312363</v>
      </c>
    </row>
    <row r="57" spans="1:18">
      <c r="A57" s="757"/>
      <c r="B57" s="757"/>
      <c r="C57" s="752" t="s">
        <v>44</v>
      </c>
      <c r="D57" s="753">
        <v>57547000</v>
      </c>
      <c r="E57" s="754"/>
      <c r="F57" s="755">
        <v>0</v>
      </c>
      <c r="G57" s="754"/>
      <c r="H57" s="735"/>
      <c r="I57" s="754"/>
      <c r="J57" s="756"/>
      <c r="K57" s="350"/>
      <c r="L57" s="756"/>
      <c r="M57" s="755"/>
      <c r="N57" s="777">
        <f>14956000+953000+136000+171000</f>
        <v>16216000</v>
      </c>
      <c r="Q57" s="734">
        <v>155285363</v>
      </c>
    </row>
    <row r="58" spans="1:18">
      <c r="A58" s="757"/>
      <c r="B58" s="757"/>
      <c r="C58" s="752" t="s">
        <v>55</v>
      </c>
      <c r="D58" s="760"/>
      <c r="E58" s="758">
        <v>0</v>
      </c>
      <c r="F58" s="761">
        <v>0</v>
      </c>
      <c r="G58" s="762" t="s">
        <v>132</v>
      </c>
      <c r="H58" s="759" t="s">
        <v>132</v>
      </c>
      <c r="I58" s="762" t="s">
        <v>132</v>
      </c>
      <c r="J58" s="759" t="s">
        <v>132</v>
      </c>
      <c r="K58" s="759">
        <v>0</v>
      </c>
      <c r="L58" s="759">
        <v>0</v>
      </c>
      <c r="M58" s="755"/>
      <c r="N58" s="777">
        <v>10000000</v>
      </c>
      <c r="Q58" s="734">
        <f>Q56-Q57</f>
        <v>27000</v>
      </c>
    </row>
    <row r="59" spans="1:18">
      <c r="A59" s="757"/>
      <c r="B59" s="757"/>
      <c r="C59" s="775" t="s">
        <v>565</v>
      </c>
      <c r="D59" s="760">
        <v>10000000</v>
      </c>
      <c r="E59" s="758"/>
      <c r="F59" s="761"/>
      <c r="G59" s="762"/>
      <c r="H59" s="759"/>
      <c r="I59" s="762"/>
      <c r="J59" s="759"/>
      <c r="K59" s="759"/>
      <c r="L59" s="759"/>
      <c r="M59" s="755"/>
      <c r="N59" s="777"/>
      <c r="O59" s="751" t="s">
        <v>568</v>
      </c>
      <c r="P59" s="751">
        <v>62000000</v>
      </c>
      <c r="Q59" s="734">
        <f>P60/P59*100</f>
        <v>50</v>
      </c>
    </row>
    <row r="60" spans="1:18">
      <c r="A60" s="757"/>
      <c r="B60" s="757"/>
      <c r="C60" s="763" t="s">
        <v>222</v>
      </c>
      <c r="D60" s="760"/>
      <c r="E60" s="66">
        <v>0</v>
      </c>
      <c r="F60" s="66">
        <v>0</v>
      </c>
      <c r="G60" s="122">
        <v>0</v>
      </c>
      <c r="H60" s="66">
        <v>0</v>
      </c>
      <c r="I60" s="122">
        <v>0</v>
      </c>
      <c r="J60" s="66">
        <v>0</v>
      </c>
      <c r="K60" s="759">
        <v>0</v>
      </c>
      <c r="L60" s="66">
        <v>0</v>
      </c>
      <c r="M60" s="66"/>
      <c r="N60" s="777">
        <v>51500000</v>
      </c>
      <c r="O60" s="751" t="s">
        <v>571</v>
      </c>
      <c r="P60" s="751">
        <v>31000000</v>
      </c>
      <c r="Q60" s="734">
        <f>N53-P60+N58</f>
        <v>56596363</v>
      </c>
    </row>
    <row r="61" spans="1:18">
      <c r="A61" s="757"/>
      <c r="B61" s="757"/>
      <c r="C61" s="776" t="s">
        <v>566</v>
      </c>
      <c r="D61" s="760">
        <v>51500000</v>
      </c>
      <c r="E61" s="66"/>
      <c r="F61" s="66"/>
      <c r="G61" s="122"/>
      <c r="H61" s="66"/>
      <c r="I61" s="122"/>
      <c r="J61" s="66"/>
      <c r="K61" s="759"/>
      <c r="L61" s="66"/>
      <c r="M61" s="66"/>
      <c r="N61" s="777"/>
      <c r="O61" s="751" t="s">
        <v>570</v>
      </c>
      <c r="Q61" s="734">
        <f>P59-Q60</f>
        <v>5403637</v>
      </c>
    </row>
    <row r="62" spans="1:18">
      <c r="A62" s="757"/>
      <c r="B62" s="757"/>
      <c r="C62" s="776"/>
      <c r="D62" s="760">
        <f>D57+D59+D61</f>
        <v>119047000</v>
      </c>
      <c r="E62" s="66"/>
      <c r="F62" s="66"/>
      <c r="G62" s="122"/>
      <c r="H62" s="66"/>
      <c r="I62" s="122"/>
      <c r="J62" s="66"/>
      <c r="K62" s="759"/>
      <c r="L62" s="66"/>
      <c r="M62" s="66"/>
      <c r="N62" s="777"/>
      <c r="Q62" s="734">
        <f>SUM(Q60:Q61)</f>
        <v>62000000</v>
      </c>
    </row>
    <row r="63" spans="1:18">
      <c r="A63" s="757"/>
      <c r="B63" s="757"/>
      <c r="C63" s="959" t="s">
        <v>45</v>
      </c>
      <c r="D63" s="960"/>
      <c r="E63" s="960"/>
      <c r="F63" s="960"/>
      <c r="G63" s="960"/>
      <c r="H63" s="960"/>
      <c r="I63" s="960"/>
      <c r="J63" s="960"/>
      <c r="K63" s="960"/>
      <c r="L63" s="960"/>
      <c r="M63" s="961"/>
      <c r="N63" s="778">
        <f>SUM(N57:N60)</f>
        <v>77716000</v>
      </c>
    </row>
    <row r="64" spans="1:18">
      <c r="R64" s="787">
        <f>R52+R46+R42+R35+R31+R28+R18</f>
        <v>53029030</v>
      </c>
    </row>
    <row r="65" spans="15:18">
      <c r="R65" s="787">
        <f>P59-R64</f>
        <v>8970970</v>
      </c>
    </row>
    <row r="66" spans="15:18">
      <c r="O66" s="784">
        <f>O18+O28+O39+O49</f>
        <v>31000643</v>
      </c>
      <c r="P66" s="784"/>
      <c r="Q66" s="785">
        <v>30999357</v>
      </c>
    </row>
    <row r="67" spans="15:18">
      <c r="O67" s="784"/>
      <c r="P67" s="784">
        <f>O66+Q66</f>
        <v>62000000</v>
      </c>
      <c r="Q67" s="785"/>
    </row>
  </sheetData>
  <mergeCells count="10">
    <mergeCell ref="C63:M63"/>
    <mergeCell ref="B32:C32"/>
    <mergeCell ref="B33:C33"/>
    <mergeCell ref="A1:N1"/>
    <mergeCell ref="A55:N55"/>
    <mergeCell ref="B40:C40"/>
    <mergeCell ref="B43:C43"/>
    <mergeCell ref="B46:C46"/>
    <mergeCell ref="C47:C48"/>
    <mergeCell ref="A53:M53"/>
  </mergeCells>
  <pageMargins left="0.7" right="0.7" top="0.75" bottom="0.75" header="0.3" footer="0.3"/>
  <pageSetup paperSize="9" orientation="portrait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LAP FSK &amp; KEU</vt:lpstr>
      <vt:lpstr>Sheet2</vt:lpstr>
      <vt:lpstr>Sheet3</vt:lpstr>
      <vt:lpstr>Sheet1</vt:lpstr>
      <vt:lpstr>Barang dan Jasa</vt:lpstr>
      <vt:lpstr>Target &amp; Realisasi Peng. Brg</vt:lpstr>
      <vt:lpstr>FISIK DAN KEU</vt:lpstr>
      <vt:lpstr>Sheet8</vt:lpstr>
      <vt:lpstr>Sheet4</vt:lpstr>
      <vt:lpstr>Sheet5</vt:lpstr>
      <vt:lpstr>Sheet6</vt:lpstr>
      <vt:lpstr>Sheet7</vt:lpstr>
      <vt:lpstr>Sheet9</vt:lpstr>
      <vt:lpstr>FIISIK APBD PERUB.</vt:lpstr>
      <vt:lpstr>FISIK PERUBAHAN</vt:lpstr>
      <vt:lpstr>Sheet10</vt:lpstr>
      <vt:lpstr>Sheet11</vt:lpstr>
      <vt:lpstr>Sheet12</vt:lpstr>
      <vt:lpstr>'LAP FSK &amp; KEU'!Print_Area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KC WONOSALAM</cp:lastModifiedBy>
  <cp:lastPrinted>2017-12-27T00:55:18Z</cp:lastPrinted>
  <dcterms:created xsi:type="dcterms:W3CDTF">2014-03-10T22:07:49Z</dcterms:created>
  <dcterms:modified xsi:type="dcterms:W3CDTF">2017-12-27T00:55:48Z</dcterms:modified>
</cp:coreProperties>
</file>